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10" tabRatio="566" firstSheet="1" activeTab="2"/>
  </bookViews>
  <sheets>
    <sheet name="2021" sheetId="1" r:id="rId1"/>
    <sheet name="приложение 2" sheetId="2" r:id="rId2"/>
    <sheet name="приложение 3" sheetId="3" r:id="rId3"/>
  </sheets>
  <externalReferences>
    <externalReference r:id="rId6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'2021'!$B$1:$AG$145</definedName>
  </definedNames>
  <calcPr fullCalcOnLoad="1" refMode="R1C1"/>
</workbook>
</file>

<file path=xl/sharedStrings.xml><?xml version="1.0" encoding="utf-8"?>
<sst xmlns="http://schemas.openxmlformats.org/spreadsheetml/2006/main" count="307" uniqueCount="248">
  <si>
    <t>№ п/п</t>
  </si>
  <si>
    <t>Итого</t>
  </si>
  <si>
    <t>1.</t>
  </si>
  <si>
    <t>№</t>
  </si>
  <si>
    <t>Наименование статей доходов, расходов бюджета</t>
  </si>
  <si>
    <t>ДОХОД</t>
  </si>
  <si>
    <t>Январь, руб.</t>
  </si>
  <si>
    <t>Февраль, руб.</t>
  </si>
  <si>
    <t>Апрель, руб.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</si>
  <si>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</si>
  <si>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</si>
  <si>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</si>
  <si>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</si>
  <si>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</si>
  <si>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</si>
  <si>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</si>
  <si>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Тех.обслуживание СКПТ (ТВ-антенны)</t>
  </si>
  <si>
    <t>Отопление</t>
  </si>
  <si>
    <t>Горячее водоснабжение</t>
  </si>
  <si>
    <t>Служба консьержей</t>
  </si>
  <si>
    <t>налог на прибыль (6%)</t>
  </si>
  <si>
    <t>Услуги проводного радиовещания</t>
  </si>
  <si>
    <t>Август, руб.</t>
  </si>
  <si>
    <t>Сентябрь, руб.</t>
  </si>
  <si>
    <t>Октябрь, руб.</t>
  </si>
  <si>
    <t>Ноябрь, руб.</t>
  </si>
  <si>
    <t>Декабрь, руб.</t>
  </si>
  <si>
    <t>Март,    руб.</t>
  </si>
  <si>
    <t>Май,       руб.</t>
  </si>
  <si>
    <t>Июнь,     руб.</t>
  </si>
  <si>
    <t>Июль,      руб.</t>
  </si>
  <si>
    <t>РАСХОД</t>
  </si>
  <si>
    <t>Основание расхода</t>
  </si>
  <si>
    <t>Примечание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</si>
  <si>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</si>
  <si>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</si>
  <si>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</si>
  <si>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</si>
  <si>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</si>
  <si>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Начисления собственникам жилых помещений руб./год</t>
  </si>
  <si>
    <t>Начисления собственникам нежелых помещений, арендаторам, руб./год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</si>
  <si>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</si>
  <si>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</si>
  <si>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</si>
  <si>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</si>
  <si>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</si>
  <si>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ФГУПС "Радиотрансляционная сеть СПб" дог.№500 от 01.08.2010</t>
  </si>
  <si>
    <t>ООО "ПетербургГаз" дог.№1.ВД.00751 от 01.08.2010</t>
  </si>
  <si>
    <t>ГУП ВЦКП "Жилищное хозяйство" дог.№249/1-6/09 от 18.08.2010</t>
  </si>
  <si>
    <t>1.1.1</t>
  </si>
  <si>
    <t>1.1.2</t>
  </si>
  <si>
    <t>1.1.3</t>
  </si>
  <si>
    <t>Вывоз ТБО</t>
  </si>
  <si>
    <t>Уборка лестничных клеток</t>
  </si>
  <si>
    <t>согласно штат.расписанию (приложение 2)</t>
  </si>
  <si>
    <t>дог-ра с орг-ми, предоставляющими услуги связи</t>
  </si>
  <si>
    <t>Водоотведение</t>
  </si>
  <si>
    <t>по счетам</t>
  </si>
  <si>
    <t>Юридические услуги</t>
  </si>
  <si>
    <t>УТВЕРЖДЕН</t>
  </si>
  <si>
    <t>ИТОГО</t>
  </si>
  <si>
    <t>5 лифтов</t>
  </si>
  <si>
    <t>Общая площадь   м2                   нежилых помещений</t>
  </si>
  <si>
    <t>Общая площадь                                                                           м2                                                                                                    жилых помещений</t>
  </si>
  <si>
    <t>ЛИТЕР</t>
  </si>
  <si>
    <t>А</t>
  </si>
  <si>
    <t>Б</t>
  </si>
  <si>
    <t>ИТОГО начисления по ЖП и НЖП</t>
  </si>
  <si>
    <t>Должность</t>
  </si>
  <si>
    <t>Кол-во штатных ед-ц</t>
  </si>
  <si>
    <t>Должностной оклад (руб.)</t>
  </si>
  <si>
    <t>Вид работ</t>
  </si>
  <si>
    <t>В соответствии с Уставом</t>
  </si>
  <si>
    <t>Гл.бухгалтер</t>
  </si>
  <si>
    <t>В соответствии с ФЗ №129-ФЗ от 21.11.96г. "О бухгалтерском учёте"</t>
  </si>
  <si>
    <t>В соответствии с должностной инструкцией</t>
  </si>
  <si>
    <t>Административно-управленческий персонал</t>
  </si>
  <si>
    <t>Справка к штатному расписанию</t>
  </si>
  <si>
    <t>Страховые взносы</t>
  </si>
  <si>
    <t>Всего расходов на заработную плату в месяц</t>
  </si>
  <si>
    <t>на административно-управленческий персонал</t>
  </si>
  <si>
    <t xml:space="preserve">УТВЕРЖДЕНО                        решением общего собрания членов ТСЖ "Невский проспект дом №88"                </t>
  </si>
  <si>
    <t>Холодное водоснабжение</t>
  </si>
  <si>
    <t>Налоговый кодекс РФ (УСН)</t>
  </si>
  <si>
    <t>Примечания</t>
  </si>
  <si>
    <t>Договора на размещение ДЭФЗ</t>
  </si>
  <si>
    <t>ООО "Содружество-А" дог.на сод-ие и тек.ремонт №А-67 от 01.02.11</t>
  </si>
  <si>
    <t>Заработная плата (без вычета НДФЛ)</t>
  </si>
  <si>
    <t>Приложение №2 - штатное расписание ТСЖ "Невский проспект дом №88"</t>
  </si>
  <si>
    <t>Председатель</t>
  </si>
  <si>
    <t>Вознаграждение (руб.)</t>
  </si>
  <si>
    <t>Вознаграждение (без вычета НДФЛ)</t>
  </si>
  <si>
    <t>помещения площадью до 100 м2          -   500 руб./мес.</t>
  </si>
  <si>
    <t>помещения площадью 100-200 м2        -   1000 руб./мес.</t>
  </si>
  <si>
    <t>помещения площадью 200-300 м2         -  1500руб./мес.</t>
  </si>
  <si>
    <t>помещения площадью 300-600 м2         -  2000 руб./мес.</t>
  </si>
  <si>
    <t>помещения площадью 600-1000 м2       -  3000 руб./мес.</t>
  </si>
  <si>
    <t>Страховая компания</t>
  </si>
  <si>
    <t>1.1</t>
  </si>
  <si>
    <t>1.2</t>
  </si>
  <si>
    <t>3.1</t>
  </si>
  <si>
    <t>4.1</t>
  </si>
  <si>
    <t>4.2</t>
  </si>
  <si>
    <t>4.3</t>
  </si>
  <si>
    <t>Правовое обслуживание и представительские услуги</t>
  </si>
  <si>
    <t>Содержание и аварийный ремонт</t>
  </si>
  <si>
    <t>подрядные работы</t>
  </si>
  <si>
    <t>затраты на материалы по счетам</t>
  </si>
  <si>
    <t>хозяйственная деятельность</t>
  </si>
  <si>
    <t>вознаграждение председателю</t>
  </si>
  <si>
    <t>Ремонт кровли, мониторинг, обслуживание</t>
  </si>
  <si>
    <t>Охрана объекта и ТО охранного оборудования</t>
  </si>
  <si>
    <t>ОВО УМВД РФ по Центральному р-ну дог. №00362,                                           ООО "Проммонтаж-2" дог.№03/2012-ТО от 14.06.2012г.</t>
  </si>
  <si>
    <t>4.4</t>
  </si>
  <si>
    <t>4.5</t>
  </si>
  <si>
    <t>4.6</t>
  </si>
  <si>
    <t>с подрядными организациями, включая материалы и работы</t>
  </si>
  <si>
    <t>4.7</t>
  </si>
  <si>
    <t>4.8</t>
  </si>
  <si>
    <t>Штрафы, пени, возмещения ущербов</t>
  </si>
  <si>
    <t>перед 3-ми лицами и организациями</t>
  </si>
  <si>
    <t>Содержание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</si>
  <si>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</si>
  <si>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</si>
  <si>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</si>
  <si>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Покраска контейнерной площадки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</si>
  <si>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</si>
  <si>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</si>
  <si>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</si>
  <si>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ИП Сорокин А.Е. дог. №1/ТСЖ от 01.09.13</t>
  </si>
  <si>
    <t>ООО "Содружество-А" дог.№А-67-Т от 24.01.13</t>
  </si>
  <si>
    <t>Ремонт систем теплоснабжения и ГВС</t>
  </si>
  <si>
    <t>Ремонт систем ХВС</t>
  </si>
  <si>
    <t>ООО "Содружество-А" дог.на сод-ие и тек.ремонт №А-67 от 01.02.11, затраты на материалы, дополнительные работы, невходящие в основной договор</t>
  </si>
  <si>
    <t>Резервный фонд</t>
  </si>
  <si>
    <t>Заработная плата работников (в т.ч. оплата отпусков) без вычета НДФЛ - гл.бухгалтер, администратор дома, гл.инженер</t>
  </si>
  <si>
    <t>Страховые взносы по з/плате гл.бухгалтера, администратора дома, гл.инженера и вознаграждению председателя</t>
  </si>
  <si>
    <t>Премиальный фонд</t>
  </si>
  <si>
    <t>ОАО "ТГК-1" дог.№ 21817 от 01.07.11 (согласно прибору учета ОД и площадям помещений)</t>
  </si>
  <si>
    <t>ГУП "Водоканал Санкт-Петербурга" дог.№ 31-526761-ЖФ-ВС от 25.04.2011 (согласно приборам учета ОД и в помещениях)</t>
  </si>
  <si>
    <t>ОАО "ТГК-1" дог.№ 21817 от 01.07.11 (согласно приборам учета ОД и в помещениях)</t>
  </si>
  <si>
    <t>ГУП "Водоканал Санкт-Петербурга" дог.№31-503091-ЖФ-ВО от 02.06.11 (согласно приборам учета ОД и в помещениях)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</si>
  <si>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</si>
  <si>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</si>
  <si>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</si>
  <si>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</si>
  <si>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</si>
  <si>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Гос.пошлины в суд, судебные издержки по неплатильщикам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</si>
  <si>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</si>
  <si>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</si>
  <si>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</si>
  <si>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</si>
  <si>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</si>
  <si>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</si>
  <si>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договора с организациями</t>
  </si>
  <si>
    <t>по счетам, товарным и кассовым чекам</t>
  </si>
  <si>
    <t xml:space="preserve">ООО "Содружество-А" дог.на сод-ие и тек.ремонт №А-67 от 01.02.11, 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</si>
  <si>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</si>
  <si>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</si>
  <si>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</si>
  <si>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</si>
  <si>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</si>
  <si>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РАЗМЕР ПЛАТЫ каждого собственника нежилого помещения в многоквартирном доме на чистку кровель и вывоз снега (сезонно)</t>
  </si>
  <si>
    <t>освещение придомовой территории</t>
  </si>
  <si>
    <t>Секретарь</t>
  </si>
  <si>
    <t>Приложение №3 - размер платы за за чистку кровель и вывоз снега</t>
  </si>
  <si>
    <t>Управляющий МКД</t>
  </si>
  <si>
    <t>Специалист по административным вопросам</t>
  </si>
  <si>
    <t>Теплоизоляция</t>
  </si>
  <si>
    <t xml:space="preserve">Озеленение </t>
  </si>
  <si>
    <t>Вентиляционный трубопровод</t>
  </si>
  <si>
    <t>Оплата неплатильщиками за содержание МКД и коммунальные услуги, арендаторами ДЭФЗ</t>
  </si>
  <si>
    <t>по счетам, товарным чекам (Коммерческое предложение ООО "Содружество-А")</t>
  </si>
  <si>
    <t>2,3,2</t>
  </si>
  <si>
    <t>для начисления за техническое обслуживание лифтов</t>
  </si>
  <si>
    <t>ИП Фатуллаев М.Ш. дог.№1-ТСЖ-К от 01.10.15г.</t>
  </si>
  <si>
    <t>Инвентарь, хозяйственные расходы для дворника (в т.ч. Одежда)</t>
  </si>
  <si>
    <t>Перила в парадных реставрация, частичная замена</t>
  </si>
  <si>
    <t>дог-ра с орг-ми, предоставляющими технику в аренду, ГУП ВК по дог.№ПСБЗ-15-09/3714</t>
  </si>
  <si>
    <t>2.2.1</t>
  </si>
  <si>
    <t>2.4.1</t>
  </si>
  <si>
    <t>2.4.2</t>
  </si>
  <si>
    <t>ПАО "Ростелеком" дог.№М-2-1/16-3-3128 от 01.08.2010</t>
  </si>
  <si>
    <t>Обслуживание, содержание сайта ТСЖ, ГИС ЖКХ</t>
  </si>
  <si>
    <t>Вознаграждение председателю</t>
  </si>
  <si>
    <t>Страховые взносы повознаграждению председателя</t>
  </si>
  <si>
    <t>по договору подряда</t>
  </si>
  <si>
    <t>датчики движения, светильники с датчиками движения, светодиодные</t>
  </si>
  <si>
    <t>Чистка кровель от наледи и снега, обслуживание в зимний период</t>
  </si>
  <si>
    <t>ООО "Авентин Сервис"</t>
  </si>
  <si>
    <t>Обслуживание замочно-переговорочного устройства по программе Безопасный дом (+видеонаблюдение)</t>
  </si>
  <si>
    <t>Модернизация видео двора</t>
  </si>
  <si>
    <t>Замена ограждений газонов, покраска, модернизация клумб</t>
  </si>
  <si>
    <t xml:space="preserve">ООО "Авентин Сервис",                             </t>
  </si>
  <si>
    <t>Обслуживание видеонаблюдения подъездов (дополнительное)</t>
  </si>
  <si>
    <t>ООО "Авентин Сервис", АО "ЭР-Телеком"</t>
  </si>
  <si>
    <t xml:space="preserve">Специалист, ответственный за организацию эксплуатации лифтов  </t>
  </si>
  <si>
    <t xml:space="preserve">ОАО "Станция профилактической дезинфекции" дог.№786 </t>
  </si>
  <si>
    <t>ПАО Сбербанк РФ дог.№1991-08/1256 от 02.12.2008</t>
  </si>
  <si>
    <t>ТО лифтовой диспетчерской связи</t>
  </si>
  <si>
    <t>ООО "ОДС"  дог. №033/12 от 23.07.2012г.</t>
  </si>
  <si>
    <t>Обработка косоуров</t>
  </si>
  <si>
    <t>ООО "ТехноВиД"</t>
  </si>
  <si>
    <t>Противопожарная дверь пар №16, противопожарные мероприятия</t>
  </si>
  <si>
    <t>региональный оператор</t>
  </si>
  <si>
    <t>Оплата дворнику по обслуживанию контейнерной площадки, территории</t>
  </si>
  <si>
    <t>Остекленение парадных частичное (замена) 16п.</t>
  </si>
  <si>
    <t>1,4,1</t>
  </si>
  <si>
    <t>1,4,2</t>
  </si>
  <si>
    <t>1,4,3</t>
  </si>
  <si>
    <t>4,14</t>
  </si>
  <si>
    <t>Компьютерная техника, программное обеспечение, в т.ч для видеооборудования</t>
  </si>
  <si>
    <t>3,2</t>
  </si>
  <si>
    <t>3,3</t>
  </si>
  <si>
    <t>3,4</t>
  </si>
  <si>
    <t>КАССА аренда/покупка</t>
  </si>
  <si>
    <t>4,9</t>
  </si>
  <si>
    <t>4,10</t>
  </si>
  <si>
    <t>4,11</t>
  </si>
  <si>
    <t>4,12</t>
  </si>
  <si>
    <t>4,13</t>
  </si>
  <si>
    <t>4,15</t>
  </si>
  <si>
    <t>Обучение сотрудников</t>
  </si>
  <si>
    <t>обущающие центры</t>
  </si>
  <si>
    <t>АО "Петербургская Сбытовая компания" дог.№78020000035542 от 21.01.19</t>
  </si>
  <si>
    <t>ООО "ОТИС Лифт" дог.№В7ОРЕ-011875 от 01.08.2015</t>
  </si>
  <si>
    <t>Материалы, ИП Фатуллаев М.Ш. №5-ТСЖ-РП</t>
  </si>
  <si>
    <t>ИП Фатуллаев М.Ш. № 5-ТСЖ-РП + материалы по чекам, товарным накладным</t>
  </si>
  <si>
    <t>Диагностика лифтов</t>
  </si>
  <si>
    <t>с подрядными организациями</t>
  </si>
  <si>
    <t>Ремонт парадных № 4. 8, частичный №6, ступени пар. № 3.4.5.7. 14. 16</t>
  </si>
  <si>
    <t>Выписки, реестры для собрания, портал ОСС</t>
  </si>
  <si>
    <t>ШТАТНОЕ РАСПИСАНИЕ ТСЖ "Невский проспект дом №88" на 2022 год</t>
  </si>
  <si>
    <t xml:space="preserve">Приложение №3                                   к бюджету на 2022 год                              ТСЖ "Невский проспект дом №88"                                                                                                                     </t>
  </si>
  <si>
    <t xml:space="preserve">Приложение №2                                   к бюджету на 2022 год                              ТСЖ "Невский проспект дом №88"                                                                                                                     </t>
  </si>
  <si>
    <t>Бюджет Товарищества собственников жилья "Невский проспект дом №88" на 2022 год</t>
  </si>
  <si>
    <t>ИТОГО по доходам и расходам на 2022 год</t>
  </si>
  <si>
    <t>Перечень приложений к бюджету ТСЖ "Невский проспект дом №88" на 2022 год</t>
  </si>
  <si>
    <t>Приложение №1 - размер платы за коммунальные услуги, за содержание и текущий ремонт общего имущества в многоквартирном доме для граждан в 2022 году.</t>
  </si>
  <si>
    <t>*Начисления собственникам помещений осуществляется в соответствии с размерами платы, установленными на 2022 год в Приложении №1 к бюджету ТСЖ "Невский проспект дом №88" на 2022 год.                                                                                                       **ТСЖ "Невский проспект дом №88" предоставляет собственника помещений коммунальные услуги в соответствии с "Правилами предоставления коммунальных услуг гражданам", установленными постановлением Правительства РФ от 23.05.2006 года №307.</t>
  </si>
  <si>
    <t>1,3,1</t>
  </si>
  <si>
    <t>1,3,2</t>
  </si>
  <si>
    <t>1,3,3</t>
  </si>
  <si>
    <t>1,3,4</t>
  </si>
  <si>
    <t>1,4</t>
  </si>
  <si>
    <r>
      <t>Входящее сальдо на 01.01.2022: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Просроченная задолженность собственников жилых, нежилых помещений, арендаторов ДЭФЗ за предыдущий период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2 220 482,46 руб.    </t>
    </r>
    <r>
      <rPr>
        <sz val="8"/>
        <rFont val="Arial"/>
        <family val="2"/>
      </rPr>
      <t xml:space="preserve">                                                                                                       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                                                                                                </t>
    </r>
  </si>
  <si>
    <t>ПАО "ТГК-1"</t>
  </si>
  <si>
    <t>решением общего собрания членов                                                      Товарищества собственников жилья "Невский проспект дом №88"               от "03" февраля 2022 года (протокол собрания №1/2022)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</si>
</sst>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2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53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181" fontId="14" fillId="0" borderId="12" xfId="0" applyNumberFormat="1" applyFont="1" applyFill="1" applyBorder="1" applyAlignment="1">
      <alignment horizontal="center" wrapText="1"/>
    </xf>
    <xf numFmtId="181" fontId="14" fillId="0" borderId="12" xfId="0" applyNumberFormat="1" applyFont="1" applyFill="1" applyBorder="1" applyAlignment="1">
      <alignment horizontal="center"/>
    </xf>
    <xf numFmtId="187" fontId="14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87" fontId="10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0" fontId="9" fillId="35" borderId="12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187" fontId="9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/>
    </xf>
    <xf numFmtId="3" fontId="10" fillId="0" borderId="13" xfId="63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0" fontId="18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7" fontId="9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87" fontId="10" fillId="0" borderId="0" xfId="0" applyNumberFormat="1" applyFont="1" applyFill="1" applyAlignment="1">
      <alignment/>
    </xf>
    <xf numFmtId="3" fontId="9" fillId="0" borderId="13" xfId="63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187" fontId="9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13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181" fontId="10" fillId="0" borderId="11" xfId="0" applyNumberFormat="1" applyFont="1" applyFill="1" applyBorder="1" applyAlignment="1">
      <alignment horizontal="left"/>
    </xf>
    <xf numFmtId="187" fontId="12" fillId="0" borderId="13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>
      <alignment vertical="center"/>
    </xf>
    <xf numFmtId="0" fontId="6" fillId="36" borderId="0" xfId="0" applyFont="1" applyFill="1" applyAlignment="1">
      <alignment/>
    </xf>
    <xf numFmtId="0" fontId="9" fillId="36" borderId="13" xfId="0" applyFont="1" applyFill="1" applyBorder="1" applyAlignment="1">
      <alignment/>
    </xf>
    <xf numFmtId="0" fontId="1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36" borderId="13" xfId="0" applyFont="1" applyFill="1" applyBorder="1" applyAlignment="1">
      <alignment/>
    </xf>
    <xf numFmtId="0" fontId="18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2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187" fontId="9" fillId="0" borderId="13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3" fontId="61" fillId="0" borderId="13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" fontId="11" fillId="0" borderId="13" xfId="0" applyNumberFormat="1" applyFont="1" applyFill="1" applyBorder="1" applyAlignment="1">
      <alignment wrapText="1"/>
    </xf>
    <xf numFmtId="187" fontId="9" fillId="0" borderId="13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87" fontId="10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3" fontId="22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87" fontId="10" fillId="0" borderId="13" xfId="0" applyNumberFormat="1" applyFont="1" applyFill="1" applyBorder="1" applyAlignment="1">
      <alignment vertical="center"/>
    </xf>
    <xf numFmtId="187" fontId="12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3" xfId="0" applyFont="1" applyBorder="1" applyAlignment="1">
      <alignment/>
    </xf>
    <xf numFmtId="182" fontId="9" fillId="0" borderId="13" xfId="0" applyNumberFormat="1" applyFont="1" applyFill="1" applyBorder="1" applyAlignment="1">
      <alignment horizontal="center" wrapText="1"/>
    </xf>
    <xf numFmtId="0" fontId="6" fillId="37" borderId="0" xfId="0" applyFont="1" applyFill="1" applyAlignment="1">
      <alignment/>
    </xf>
    <xf numFmtId="0" fontId="9" fillId="37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wrapText="1"/>
    </xf>
    <xf numFmtId="0" fontId="9" fillId="37" borderId="12" xfId="0" applyFont="1" applyFill="1" applyBorder="1" applyAlignment="1">
      <alignment/>
    </xf>
    <xf numFmtId="3" fontId="9" fillId="37" borderId="12" xfId="0" applyNumberFormat="1" applyFont="1" applyFill="1" applyBorder="1" applyAlignment="1">
      <alignment horizontal="center"/>
    </xf>
    <xf numFmtId="187" fontId="9" fillId="37" borderId="12" xfId="0" applyNumberFormat="1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16" fillId="37" borderId="13" xfId="0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0" fontId="9" fillId="37" borderId="13" xfId="0" applyFont="1" applyFill="1" applyBorder="1" applyAlignment="1">
      <alignment/>
    </xf>
    <xf numFmtId="0" fontId="1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0" fillId="37" borderId="13" xfId="0" applyFont="1" applyFill="1" applyBorder="1" applyAlignment="1">
      <alignment horizontal="center"/>
    </xf>
    <xf numFmtId="3" fontId="10" fillId="37" borderId="13" xfId="0" applyNumberFormat="1" applyFont="1" applyFill="1" applyBorder="1" applyAlignment="1">
      <alignment/>
    </xf>
    <xf numFmtId="3" fontId="10" fillId="37" borderId="13" xfId="0" applyNumberFormat="1" applyFont="1" applyFill="1" applyBorder="1" applyAlignment="1">
      <alignment horizontal="center"/>
    </xf>
    <xf numFmtId="187" fontId="10" fillId="37" borderId="13" xfId="0" applyNumberFormat="1" applyFont="1" applyFill="1" applyBorder="1" applyAlignment="1">
      <alignment/>
    </xf>
    <xf numFmtId="3" fontId="12" fillId="37" borderId="13" xfId="0" applyNumberFormat="1" applyFont="1" applyFill="1" applyBorder="1" applyAlignment="1">
      <alignment wrapText="1"/>
    </xf>
    <xf numFmtId="3" fontId="12" fillId="37" borderId="10" xfId="0" applyNumberFormat="1" applyFont="1" applyFill="1" applyBorder="1" applyAlignment="1">
      <alignment horizontal="center" wrapText="1"/>
    </xf>
    <xf numFmtId="0" fontId="10" fillId="37" borderId="13" xfId="0" applyFont="1" applyFill="1" applyBorder="1" applyAlignment="1">
      <alignment/>
    </xf>
    <xf numFmtId="0" fontId="18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8" fillId="37" borderId="0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10" fillId="37" borderId="13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37" borderId="13" xfId="0" applyFont="1" applyFill="1" applyBorder="1" applyAlignment="1">
      <alignment horizontal="center" wrapText="1"/>
    </xf>
    <xf numFmtId="0" fontId="10" fillId="37" borderId="11" xfId="0" applyFont="1" applyFill="1" applyBorder="1" applyAlignment="1">
      <alignment wrapText="1"/>
    </xf>
    <xf numFmtId="0" fontId="5" fillId="37" borderId="13" xfId="0" applyFont="1" applyFill="1" applyBorder="1" applyAlignment="1">
      <alignment/>
    </xf>
    <xf numFmtId="3" fontId="10" fillId="37" borderId="13" xfId="0" applyNumberFormat="1" applyFont="1" applyFill="1" applyBorder="1" applyAlignment="1">
      <alignment/>
    </xf>
    <xf numFmtId="187" fontId="10" fillId="37" borderId="13" xfId="0" applyNumberFormat="1" applyFont="1" applyFill="1" applyBorder="1" applyAlignment="1">
      <alignment/>
    </xf>
    <xf numFmtId="187" fontId="10" fillId="37" borderId="13" xfId="0" applyNumberFormat="1" applyFont="1" applyFill="1" applyBorder="1" applyAlignment="1">
      <alignment horizontal="right"/>
    </xf>
    <xf numFmtId="0" fontId="18" fillId="37" borderId="13" xfId="0" applyFont="1" applyFill="1" applyBorder="1" applyAlignment="1">
      <alignment/>
    </xf>
    <xf numFmtId="0" fontId="4" fillId="37" borderId="0" xfId="0" applyFont="1" applyFill="1" applyBorder="1" applyAlignment="1">
      <alignment horizontal="center" wrapText="1"/>
    </xf>
    <xf numFmtId="181" fontId="14" fillId="37" borderId="12" xfId="0" applyNumberFormat="1" applyFont="1" applyFill="1" applyBorder="1" applyAlignment="1">
      <alignment horizontal="center" wrapText="1"/>
    </xf>
    <xf numFmtId="181" fontId="14" fillId="37" borderId="12" xfId="0" applyNumberFormat="1" applyFont="1" applyFill="1" applyBorder="1" applyAlignment="1">
      <alignment horizontal="center"/>
    </xf>
    <xf numFmtId="187" fontId="14" fillId="37" borderId="12" xfId="0" applyNumberFormat="1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5" fillId="37" borderId="13" xfId="0" applyFont="1" applyFill="1" applyBorder="1" applyAlignment="1">
      <alignment textRotation="90"/>
    </xf>
    <xf numFmtId="2" fontId="9" fillId="0" borderId="13" xfId="0" applyNumberFormat="1" applyFont="1" applyFill="1" applyBorder="1" applyAlignment="1">
      <alignment horizontal="center" wrapText="1"/>
    </xf>
    <xf numFmtId="187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9" fillId="0" borderId="13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/>
    </xf>
    <xf numFmtId="0" fontId="10" fillId="37" borderId="13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3" fontId="12" fillId="0" borderId="12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9" fillId="37" borderId="13" xfId="0" applyFont="1" applyFill="1" applyBorder="1" applyAlignment="1">
      <alignment horizontal="center"/>
    </xf>
    <xf numFmtId="3" fontId="9" fillId="37" borderId="13" xfId="0" applyNumberFormat="1" applyFont="1" applyFill="1" applyBorder="1" applyAlignment="1">
      <alignment horizontal="center"/>
    </xf>
    <xf numFmtId="187" fontId="9" fillId="37" borderId="13" xfId="0" applyNumberFormat="1" applyFont="1" applyFill="1" applyBorder="1" applyAlignment="1">
      <alignment/>
    </xf>
    <xf numFmtId="187" fontId="9" fillId="37" borderId="13" xfId="0" applyNumberFormat="1" applyFont="1" applyFill="1" applyBorder="1" applyAlignment="1">
      <alignment horizontal="right"/>
    </xf>
    <xf numFmtId="1" fontId="9" fillId="37" borderId="13" xfId="0" applyNumberFormat="1" applyFont="1" applyFill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wrapText="1"/>
    </xf>
    <xf numFmtId="3" fontId="10" fillId="37" borderId="13" xfId="63" applyNumberFormat="1" applyFont="1" applyFill="1" applyBorder="1" applyAlignment="1">
      <alignment horizontal="center"/>
    </xf>
    <xf numFmtId="1" fontId="10" fillId="37" borderId="13" xfId="0" applyNumberFormat="1" applyFont="1" applyFill="1" applyBorder="1" applyAlignment="1">
      <alignment/>
    </xf>
    <xf numFmtId="0" fontId="19" fillId="37" borderId="13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 wrapText="1"/>
    </xf>
    <xf numFmtId="0" fontId="10" fillId="37" borderId="17" xfId="0" applyFont="1" applyFill="1" applyBorder="1" applyAlignment="1">
      <alignment wrapText="1"/>
    </xf>
    <xf numFmtId="3" fontId="10" fillId="37" borderId="11" xfId="0" applyNumberFormat="1" applyFont="1" applyFill="1" applyBorder="1" applyAlignment="1">
      <alignment horizontal="center"/>
    </xf>
    <xf numFmtId="187" fontId="10" fillId="37" borderId="11" xfId="0" applyNumberFormat="1" applyFont="1" applyFill="1" applyBorder="1" applyAlignment="1">
      <alignment/>
    </xf>
    <xf numFmtId="1" fontId="10" fillId="37" borderId="11" xfId="0" applyNumberFormat="1" applyFont="1" applyFill="1" applyBorder="1" applyAlignment="1">
      <alignment/>
    </xf>
    <xf numFmtId="181" fontId="10" fillId="37" borderId="13" xfId="0" applyNumberFormat="1" applyFont="1" applyFill="1" applyBorder="1" applyAlignment="1">
      <alignment horizontal="center" wrapText="1"/>
    </xf>
    <xf numFmtId="181" fontId="10" fillId="37" borderId="11" xfId="0" applyNumberFormat="1" applyFont="1" applyFill="1" applyBorder="1" applyAlignment="1">
      <alignment horizontal="left"/>
    </xf>
    <xf numFmtId="0" fontId="0" fillId="37" borderId="13" xfId="0" applyFill="1" applyBorder="1" applyAlignment="1">
      <alignment vertical="center"/>
    </xf>
    <xf numFmtId="181" fontId="14" fillId="37" borderId="13" xfId="0" applyNumberFormat="1" applyFont="1" applyFill="1" applyBorder="1" applyAlignment="1">
      <alignment horizontal="center"/>
    </xf>
    <xf numFmtId="0" fontId="21" fillId="37" borderId="13" xfId="0" applyFont="1" applyFill="1" applyBorder="1" applyAlignment="1">
      <alignment vertical="center"/>
    </xf>
    <xf numFmtId="181" fontId="10" fillId="37" borderId="11" xfId="0" applyNumberFormat="1" applyFont="1" applyFill="1" applyBorder="1" applyAlignment="1">
      <alignment horizontal="center" wrapText="1"/>
    </xf>
    <xf numFmtId="187" fontId="14" fillId="37" borderId="13" xfId="0" applyNumberFormat="1" applyFont="1" applyFill="1" applyBorder="1" applyAlignment="1">
      <alignment horizontal="center" wrapText="1"/>
    </xf>
    <xf numFmtId="0" fontId="10" fillId="37" borderId="11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0" xfId="0" applyAlignment="1">
      <alignment wrapText="1"/>
    </xf>
    <xf numFmtId="14" fontId="10" fillId="34" borderId="11" xfId="0" applyNumberFormat="1" applyFont="1" applyFill="1" applyBorder="1" applyAlignment="1">
      <alignment horizontal="center"/>
    </xf>
    <xf numFmtId="14" fontId="10" fillId="34" borderId="1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87" fontId="10" fillId="0" borderId="10" xfId="0" applyNumberFormat="1" applyFont="1" applyFill="1" applyBorder="1" applyAlignment="1">
      <alignment horizontal="center" wrapText="1"/>
    </xf>
    <xf numFmtId="187" fontId="10" fillId="0" borderId="19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3" fillId="38" borderId="11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2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26\work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SheetLayoutView="100" zoomScalePageLayoutView="0" workbookViewId="0" topLeftCell="B2">
      <pane xSplit="5760" ySplit="2595" topLeftCell="B103" activePane="topRight" state="split"/>
      <selection pane="topLeft" activeCell="E7" sqref="E1:AE16384"/>
      <selection pane="topRight" activeCell="AF5" sqref="AF5"/>
      <selection pane="bottomLeft" activeCell="B111" sqref="A111:IV111"/>
      <selection pane="bottomRight" activeCell="AF108" sqref="AF108"/>
    </sheetView>
  </sheetViews>
  <sheetFormatPr defaultColWidth="9.00390625" defaultRowHeight="12.75"/>
  <cols>
    <col min="1" max="1" width="7.875" style="3" hidden="1" customWidth="1"/>
    <col min="2" max="2" width="7.875" style="59" customWidth="1"/>
    <col min="3" max="3" width="43.25390625" style="17" customWidth="1"/>
    <col min="4" max="4" width="14.625" style="17" customWidth="1"/>
    <col min="5" max="5" width="9.875" style="59" hidden="1" customWidth="1"/>
    <col min="6" max="7" width="9.625" style="57" hidden="1" customWidth="1"/>
    <col min="8" max="8" width="9.25390625" style="57" hidden="1" customWidth="1"/>
    <col min="9" max="9" width="10.00390625" style="57" hidden="1" customWidth="1"/>
    <col min="10" max="10" width="9.375" style="57" hidden="1" customWidth="1"/>
    <col min="11" max="11" width="8.875" style="57" hidden="1" customWidth="1"/>
    <col min="12" max="12" width="9.625" style="57" hidden="1" customWidth="1"/>
    <col min="13" max="13" width="10.125" style="57" hidden="1" customWidth="1"/>
    <col min="14" max="14" width="11.25390625" style="57" hidden="1" customWidth="1"/>
    <col min="15" max="15" width="9.875" style="57" hidden="1" customWidth="1"/>
    <col min="16" max="16" width="10.75390625" style="17" hidden="1" customWidth="1"/>
    <col min="17" max="17" width="17.625" style="17" customWidth="1"/>
    <col min="18" max="18" width="12.625" style="59" hidden="1" customWidth="1"/>
    <col min="19" max="19" width="13.00390625" style="57" hidden="1" customWidth="1"/>
    <col min="20" max="22" width="11.875" style="57" hidden="1" customWidth="1"/>
    <col min="23" max="23" width="12.375" style="57" hidden="1" customWidth="1"/>
    <col min="24" max="25" width="11.875" style="57" hidden="1" customWidth="1"/>
    <col min="26" max="26" width="11.75390625" style="57" hidden="1" customWidth="1"/>
    <col min="27" max="27" width="11.25390625" style="57" hidden="1" customWidth="1"/>
    <col min="28" max="28" width="11.375" style="57" hidden="1" customWidth="1"/>
    <col min="29" max="29" width="11.125" style="17" hidden="1" customWidth="1"/>
    <col min="30" max="30" width="11.125" style="17" customWidth="1"/>
    <col min="31" max="31" width="12.875" style="58" customWidth="1"/>
    <col min="32" max="32" width="15.625" style="58" customWidth="1"/>
    <col min="33" max="33" width="28.875" style="59" customWidth="1"/>
    <col min="34" max="34" width="12.875" style="17" hidden="1" customWidth="1"/>
    <col min="35" max="35" width="9.125" style="16" customWidth="1"/>
    <col min="36" max="16384" width="9.125" style="17" customWidth="1"/>
  </cols>
  <sheetData>
    <row r="1" spans="31:32" ht="12.75">
      <c r="AE1" s="39" t="s">
        <v>59</v>
      </c>
      <c r="AF1" s="17"/>
    </row>
    <row r="2" spans="3:33" ht="38.25" customHeight="1">
      <c r="C2" s="260"/>
      <c r="AE2" s="222" t="s">
        <v>247</v>
      </c>
      <c r="AF2" s="223"/>
      <c r="AG2" s="223"/>
    </row>
    <row r="3" spans="2:33" ht="24" customHeight="1">
      <c r="B3" s="224" t="s">
        <v>235</v>
      </c>
      <c r="C3" s="225"/>
      <c r="D3" s="225"/>
      <c r="E3" s="225"/>
      <c r="AE3" s="67"/>
      <c r="AF3" s="134"/>
      <c r="AG3" s="134"/>
    </row>
    <row r="4" spans="31:33" ht="14.25" customHeight="1" hidden="1">
      <c r="AE4" s="67"/>
      <c r="AF4" s="134"/>
      <c r="AG4" s="134"/>
    </row>
    <row r="5" spans="2:33" ht="46.5" customHeight="1">
      <c r="B5" s="40" t="s">
        <v>64</v>
      </c>
      <c r="C5" s="69" t="s">
        <v>63</v>
      </c>
      <c r="D5" s="69" t="s">
        <v>62</v>
      </c>
      <c r="AE5" s="67"/>
      <c r="AF5" s="134"/>
      <c r="AG5" s="134"/>
    </row>
    <row r="6" spans="2:33" ht="17.25" customHeight="1">
      <c r="B6" s="40" t="s">
        <v>65</v>
      </c>
      <c r="C6" s="40">
        <f>18293.9-D6</f>
        <v>13519.400000000001</v>
      </c>
      <c r="D6" s="40">
        <v>4774.5</v>
      </c>
      <c r="AE6" s="67"/>
      <c r="AF6" s="134"/>
      <c r="AG6" s="134"/>
    </row>
    <row r="7" spans="2:33" ht="17.25" customHeight="1">
      <c r="B7" s="40" t="s">
        <v>66</v>
      </c>
      <c r="C7" s="40">
        <f>2290.6-D7</f>
        <v>1871.1999999999998</v>
      </c>
      <c r="D7" s="40">
        <v>419.4</v>
      </c>
      <c r="AE7" s="67"/>
      <c r="AF7" s="134"/>
      <c r="AG7" s="134"/>
    </row>
    <row r="8" spans="2:33" ht="17.25" customHeight="1">
      <c r="B8" s="20" t="s">
        <v>60</v>
      </c>
      <c r="C8" s="20">
        <f>C6+C7</f>
        <v>15390.600000000002</v>
      </c>
      <c r="D8" s="20">
        <f>D6+D7</f>
        <v>5193.9</v>
      </c>
      <c r="AE8" s="67"/>
      <c r="AF8" s="134"/>
      <c r="AG8" s="134"/>
    </row>
    <row r="9" spans="2:33" ht="17.25" customHeight="1">
      <c r="B9" s="40"/>
      <c r="C9" s="40" t="s">
        <v>174</v>
      </c>
      <c r="D9" s="26"/>
      <c r="AE9" s="67"/>
      <c r="AF9" s="134"/>
      <c r="AG9" s="134"/>
    </row>
    <row r="10" spans="2:33" ht="15" customHeight="1">
      <c r="B10" s="40" t="s">
        <v>65</v>
      </c>
      <c r="C10" s="40" t="s">
        <v>61</v>
      </c>
      <c r="D10" s="26"/>
      <c r="AE10" s="67"/>
      <c r="AF10" s="134"/>
      <c r="AG10" s="134"/>
    </row>
    <row r="11" spans="2:33" ht="17.25" customHeight="1">
      <c r="B11" s="40" t="s">
        <v>66</v>
      </c>
      <c r="C11" s="40"/>
      <c r="D11" s="26"/>
      <c r="AE11" s="67"/>
      <c r="AF11" s="134"/>
      <c r="AG11" s="134"/>
    </row>
    <row r="12" spans="2:33" ht="14.25" customHeight="1">
      <c r="B12" s="20" t="s">
        <v>60</v>
      </c>
      <c r="C12" s="20" t="s">
        <v>61</v>
      </c>
      <c r="D12" s="26"/>
      <c r="AE12" s="67"/>
      <c r="AF12" s="134"/>
      <c r="AG12" s="134"/>
    </row>
    <row r="13" spans="31:33" ht="15" customHeight="1" hidden="1">
      <c r="AE13" s="67"/>
      <c r="AF13" s="134"/>
      <c r="AG13" s="134"/>
    </row>
    <row r="14" spans="2:6" ht="36" customHeight="1">
      <c r="B14" s="226" t="s">
        <v>245</v>
      </c>
      <c r="C14" s="227"/>
      <c r="D14" s="227"/>
      <c r="E14" s="228"/>
      <c r="F14" s="228"/>
    </row>
    <row r="15" spans="1:35" s="12" customFormat="1" ht="26.25" customHeight="1">
      <c r="A15" s="1"/>
      <c r="B15" s="9"/>
      <c r="C15" s="10"/>
      <c r="D15" s="236" t="s">
        <v>5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E15" s="239"/>
      <c r="AF15" s="232" t="s">
        <v>31</v>
      </c>
      <c r="AG15" s="234" t="s">
        <v>32</v>
      </c>
      <c r="AH15" s="230" t="s">
        <v>33</v>
      </c>
      <c r="AI15" s="11"/>
    </row>
    <row r="16" spans="1:34" ht="64.5" customHeight="1">
      <c r="A16" s="2" t="s">
        <v>0</v>
      </c>
      <c r="B16" s="13" t="s">
        <v>3</v>
      </c>
      <c r="C16" s="14" t="s">
        <v>4</v>
      </c>
      <c r="D16" s="13" t="s">
        <v>39</v>
      </c>
      <c r="E16" s="13" t="s">
        <v>6</v>
      </c>
      <c r="F16" s="15" t="s">
        <v>7</v>
      </c>
      <c r="G16" s="15" t="s">
        <v>27</v>
      </c>
      <c r="H16" s="15" t="s">
        <v>8</v>
      </c>
      <c r="I16" s="15" t="s">
        <v>28</v>
      </c>
      <c r="J16" s="15" t="s">
        <v>29</v>
      </c>
      <c r="K16" s="15" t="s">
        <v>30</v>
      </c>
      <c r="L16" s="15" t="s">
        <v>22</v>
      </c>
      <c r="M16" s="15" t="s">
        <v>23</v>
      </c>
      <c r="N16" s="15" t="s">
        <v>24</v>
      </c>
      <c r="O16" s="15" t="s">
        <v>25</v>
      </c>
      <c r="P16" s="68" t="s">
        <v>26</v>
      </c>
      <c r="Q16" s="13" t="s">
        <v>40</v>
      </c>
      <c r="R16" s="13" t="s">
        <v>6</v>
      </c>
      <c r="S16" s="15" t="s">
        <v>7</v>
      </c>
      <c r="T16" s="15" t="s">
        <v>27</v>
      </c>
      <c r="U16" s="15" t="s">
        <v>8</v>
      </c>
      <c r="V16" s="15" t="s">
        <v>28</v>
      </c>
      <c r="W16" s="15" t="s">
        <v>29</v>
      </c>
      <c r="X16" s="15" t="s">
        <v>30</v>
      </c>
      <c r="Y16" s="15" t="s">
        <v>22</v>
      </c>
      <c r="Z16" s="15" t="s">
        <v>23</v>
      </c>
      <c r="AA16" s="15" t="s">
        <v>24</v>
      </c>
      <c r="AB16" s="15" t="s">
        <v>25</v>
      </c>
      <c r="AC16" s="68" t="s">
        <v>26</v>
      </c>
      <c r="AD16" s="135" t="s">
        <v>67</v>
      </c>
      <c r="AE16" s="136" t="s">
        <v>108</v>
      </c>
      <c r="AF16" s="233"/>
      <c r="AG16" s="235"/>
      <c r="AH16" s="231"/>
    </row>
    <row r="17" spans="1:35" s="156" customFormat="1" ht="16.5" customHeight="1">
      <c r="A17" s="179"/>
      <c r="B17" s="180"/>
      <c r="C17" s="181"/>
      <c r="D17" s="180"/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  <c r="Q17" s="180"/>
      <c r="R17" s="180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3"/>
      <c r="AD17" s="184"/>
      <c r="AE17" s="185"/>
      <c r="AF17" s="185"/>
      <c r="AG17" s="186"/>
      <c r="AH17" s="187"/>
      <c r="AI17" s="155"/>
    </row>
    <row r="18" spans="1:34" ht="35.25" customHeight="1">
      <c r="A18" s="3">
        <v>1</v>
      </c>
      <c r="B18" s="20">
        <v>1</v>
      </c>
      <c r="C18" s="21" t="s">
        <v>44</v>
      </c>
      <c r="D18" s="22">
        <f>D19+D38+D55+D71+D72+D49+D73</f>
        <v>4242221.880000001</v>
      </c>
      <c r="E18" s="22">
        <f>E19+E38+E55+E71+E72+E49+E73</f>
        <v>339208.824</v>
      </c>
      <c r="F18" s="22">
        <f aca="true" t="shared" si="0" ref="F18:P18">F19+F38+F55+F71+F72+F49+F73</f>
        <v>339208.824</v>
      </c>
      <c r="G18" s="22">
        <f t="shared" si="0"/>
        <v>339208.824</v>
      </c>
      <c r="H18" s="22">
        <f t="shared" si="0"/>
        <v>339208.824</v>
      </c>
      <c r="I18" s="22">
        <f t="shared" si="0"/>
        <v>339208.824</v>
      </c>
      <c r="J18" s="22">
        <f t="shared" si="0"/>
        <v>339208.824</v>
      </c>
      <c r="K18" s="22">
        <f t="shared" si="0"/>
        <v>347827.56</v>
      </c>
      <c r="L18" s="22">
        <f t="shared" si="0"/>
        <v>347827.56</v>
      </c>
      <c r="M18" s="22">
        <f t="shared" si="0"/>
        <v>347827.56</v>
      </c>
      <c r="N18" s="22">
        <f t="shared" si="0"/>
        <v>347827.56</v>
      </c>
      <c r="O18" s="22">
        <f t="shared" si="0"/>
        <v>347827.56</v>
      </c>
      <c r="P18" s="22">
        <f t="shared" si="0"/>
        <v>347827.56</v>
      </c>
      <c r="Q18" s="22">
        <f>Q19+Q38+Q49+Q55+Q71+Q73</f>
        <v>1697989.416</v>
      </c>
      <c r="R18" s="22">
        <f>R19+R38+R49+R55+R71+R73</f>
        <v>134837.129</v>
      </c>
      <c r="S18" s="22">
        <f aca="true" t="shared" si="1" ref="S18:AC18">S19+S38+S49+S55+S71+S73</f>
        <v>134837.129</v>
      </c>
      <c r="T18" s="22">
        <f t="shared" si="1"/>
        <v>134837.129</v>
      </c>
      <c r="U18" s="22">
        <f t="shared" si="1"/>
        <v>134837.129</v>
      </c>
      <c r="V18" s="22">
        <f t="shared" si="1"/>
        <v>134837.129</v>
      </c>
      <c r="W18" s="22">
        <f t="shared" si="1"/>
        <v>134837.129</v>
      </c>
      <c r="X18" s="22">
        <f t="shared" si="1"/>
        <v>138161.225</v>
      </c>
      <c r="Y18" s="22">
        <f t="shared" si="1"/>
        <v>138161.225</v>
      </c>
      <c r="Z18" s="22">
        <f t="shared" si="1"/>
        <v>138161.225</v>
      </c>
      <c r="AA18" s="22">
        <f t="shared" si="1"/>
        <v>138161.225</v>
      </c>
      <c r="AB18" s="22">
        <f t="shared" si="1"/>
        <v>138161.225</v>
      </c>
      <c r="AC18" s="22">
        <f t="shared" si="1"/>
        <v>138161.225</v>
      </c>
      <c r="AD18" s="22">
        <f>D18+Q18</f>
        <v>5940211.296000001</v>
      </c>
      <c r="AE18" s="23"/>
      <c r="AF18" s="24">
        <f>AF19+AF38+AF49+AF55+AF71+AF72+AF73</f>
        <v>5665136.72</v>
      </c>
      <c r="AG18" s="25"/>
      <c r="AH18" s="26"/>
    </row>
    <row r="19" spans="1:34" ht="25.5" customHeight="1">
      <c r="A19" s="3">
        <v>15</v>
      </c>
      <c r="B19" s="115">
        <v>1</v>
      </c>
      <c r="C19" s="92" t="s">
        <v>153</v>
      </c>
      <c r="D19" s="22">
        <f>P19+O19+N19+M19+L19+K19+J19+I19+H19+G19+F19+E19</f>
        <v>1507047.552</v>
      </c>
      <c r="E19" s="42">
        <f aca="true" t="shared" si="2" ref="E19:J19">15390.6*8.08</f>
        <v>124356.04800000001</v>
      </c>
      <c r="F19" s="42">
        <f t="shared" si="2"/>
        <v>124356.04800000001</v>
      </c>
      <c r="G19" s="42">
        <f t="shared" si="2"/>
        <v>124356.04800000001</v>
      </c>
      <c r="H19" s="42">
        <f t="shared" si="2"/>
        <v>124356.04800000001</v>
      </c>
      <c r="I19" s="42">
        <f t="shared" si="2"/>
        <v>124356.04800000001</v>
      </c>
      <c r="J19" s="42">
        <f t="shared" si="2"/>
        <v>124356.04800000001</v>
      </c>
      <c r="K19" s="42">
        <f aca="true" t="shared" si="3" ref="K19:P19">15390.6*8.24</f>
        <v>126818.54400000001</v>
      </c>
      <c r="L19" s="42">
        <f t="shared" si="3"/>
        <v>126818.54400000001</v>
      </c>
      <c r="M19" s="42">
        <f t="shared" si="3"/>
        <v>126818.54400000001</v>
      </c>
      <c r="N19" s="42">
        <f t="shared" si="3"/>
        <v>126818.54400000001</v>
      </c>
      <c r="O19" s="42">
        <f t="shared" si="3"/>
        <v>126818.54400000001</v>
      </c>
      <c r="P19" s="42">
        <f t="shared" si="3"/>
        <v>126818.54400000001</v>
      </c>
      <c r="Q19" s="22">
        <f>R19+S19+T19+U19+V19+W19+X19+Y19+Z19+AA19+AB19+AC19</f>
        <v>684390.0839999999</v>
      </c>
      <c r="R19" s="28">
        <f aca="true" t="shared" si="4" ref="R19:W19">5193.9*7.06+R28</f>
        <v>56668.933999999994</v>
      </c>
      <c r="S19" s="28">
        <f t="shared" si="4"/>
        <v>56668.933999999994</v>
      </c>
      <c r="T19" s="28">
        <f t="shared" si="4"/>
        <v>56668.933999999994</v>
      </c>
      <c r="U19" s="28">
        <f t="shared" si="4"/>
        <v>56668.933999999994</v>
      </c>
      <c r="V19" s="28">
        <f t="shared" si="4"/>
        <v>56668.933999999994</v>
      </c>
      <c r="W19" s="28">
        <f t="shared" si="4"/>
        <v>56668.933999999994</v>
      </c>
      <c r="X19" s="28">
        <f aca="true" t="shared" si="5" ref="X19:AC19">5193.9*7.2+X28</f>
        <v>57396.08</v>
      </c>
      <c r="Y19" s="28">
        <f t="shared" si="5"/>
        <v>57396.08</v>
      </c>
      <c r="Z19" s="28">
        <f t="shared" si="5"/>
        <v>57396.08</v>
      </c>
      <c r="AA19" s="28">
        <f t="shared" si="5"/>
        <v>57396.08</v>
      </c>
      <c r="AB19" s="28">
        <f t="shared" si="5"/>
        <v>57396.08</v>
      </c>
      <c r="AC19" s="28">
        <f t="shared" si="5"/>
        <v>57396.08</v>
      </c>
      <c r="AD19" s="22">
        <f>D19+Q19</f>
        <v>2191437.636</v>
      </c>
      <c r="AE19" s="116"/>
      <c r="AF19" s="87">
        <f>AF20+AF34+AF28+AF24+AF27</f>
        <v>1916437.68</v>
      </c>
      <c r="AG19" s="69"/>
      <c r="AH19" s="26"/>
    </row>
    <row r="20" spans="2:34" ht="23.25" customHeight="1">
      <c r="B20" s="117" t="s">
        <v>98</v>
      </c>
      <c r="C20" s="27" t="s">
        <v>149</v>
      </c>
      <c r="D20" s="22">
        <f>P20+O20+N20+M20+L20+K20+J20+I20+H20+G20+F20+E20</f>
        <v>968684.3640000002</v>
      </c>
      <c r="E20" s="42">
        <f aca="true" t="shared" si="6" ref="E20:J20">15390.6*5.19</f>
        <v>79877.214</v>
      </c>
      <c r="F20" s="42">
        <f t="shared" si="6"/>
        <v>79877.214</v>
      </c>
      <c r="G20" s="42">
        <f t="shared" si="6"/>
        <v>79877.214</v>
      </c>
      <c r="H20" s="42">
        <f t="shared" si="6"/>
        <v>79877.214</v>
      </c>
      <c r="I20" s="42">
        <f t="shared" si="6"/>
        <v>79877.214</v>
      </c>
      <c r="J20" s="42">
        <f t="shared" si="6"/>
        <v>79877.214</v>
      </c>
      <c r="K20" s="42">
        <f aca="true" t="shared" si="7" ref="K20:P20">15390.6*5.3</f>
        <v>81570.18</v>
      </c>
      <c r="L20" s="42">
        <f t="shared" si="7"/>
        <v>81570.18</v>
      </c>
      <c r="M20" s="42">
        <f t="shared" si="7"/>
        <v>81570.18</v>
      </c>
      <c r="N20" s="42">
        <f t="shared" si="7"/>
        <v>81570.18</v>
      </c>
      <c r="O20" s="42">
        <f t="shared" si="7"/>
        <v>81570.18</v>
      </c>
      <c r="P20" s="42">
        <f t="shared" si="7"/>
        <v>81570.18</v>
      </c>
      <c r="Q20" s="22">
        <f>R20+S20+T20+U20+V20+W20+X20+Y20+Z20+AA20+AB20+AC20</f>
        <v>392347.206</v>
      </c>
      <c r="R20" s="28">
        <f aca="true" t="shared" si="8" ref="R20:W20">5193.9*6.23</f>
        <v>32357.997</v>
      </c>
      <c r="S20" s="28">
        <f t="shared" si="8"/>
        <v>32357.997</v>
      </c>
      <c r="T20" s="28">
        <f t="shared" si="8"/>
        <v>32357.997</v>
      </c>
      <c r="U20" s="28">
        <f t="shared" si="8"/>
        <v>32357.997</v>
      </c>
      <c r="V20" s="28">
        <f t="shared" si="8"/>
        <v>32357.997</v>
      </c>
      <c r="W20" s="28">
        <f t="shared" si="8"/>
        <v>32357.997</v>
      </c>
      <c r="X20" s="28">
        <f aca="true" t="shared" si="9" ref="X20:AC20">6.36*5193.9</f>
        <v>33033.204</v>
      </c>
      <c r="Y20" s="28">
        <f t="shared" si="9"/>
        <v>33033.204</v>
      </c>
      <c r="Z20" s="28">
        <f t="shared" si="9"/>
        <v>33033.204</v>
      </c>
      <c r="AA20" s="28">
        <f t="shared" si="9"/>
        <v>33033.204</v>
      </c>
      <c r="AB20" s="28">
        <f t="shared" si="9"/>
        <v>33033.204</v>
      </c>
      <c r="AC20" s="28">
        <f t="shared" si="9"/>
        <v>33033.204</v>
      </c>
      <c r="AD20" s="22">
        <f>D20+Q20</f>
        <v>1361031.5700000003</v>
      </c>
      <c r="AE20" s="116"/>
      <c r="AF20" s="87">
        <f>AF21+AF22+AF23</f>
        <v>1083561.68</v>
      </c>
      <c r="AG20" s="69"/>
      <c r="AH20" s="26"/>
    </row>
    <row r="21" spans="2:34" ht="23.25" customHeight="1">
      <c r="B21" s="113" t="s">
        <v>49</v>
      </c>
      <c r="C21" s="27" t="s">
        <v>105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2"/>
      <c r="AE21" s="116"/>
      <c r="AF21" s="190">
        <f>69315*12-126700-2470+74</f>
        <v>702684</v>
      </c>
      <c r="AG21" s="86" t="s">
        <v>86</v>
      </c>
      <c r="AH21" s="26"/>
    </row>
    <row r="22" spans="2:34" ht="22.5" customHeight="1">
      <c r="B22" s="113" t="s">
        <v>50</v>
      </c>
      <c r="C22" s="27" t="s">
        <v>9</v>
      </c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42"/>
      <c r="AE22" s="23"/>
      <c r="AF22" s="132">
        <v>350000</v>
      </c>
      <c r="AG22" s="62" t="s">
        <v>155</v>
      </c>
      <c r="AH22" s="26"/>
    </row>
    <row r="23" spans="2:34" ht="24" customHeight="1">
      <c r="B23" s="113" t="s">
        <v>51</v>
      </c>
      <c r="C23" s="27" t="s">
        <v>10</v>
      </c>
      <c r="D23" s="28">
        <f>1231*6+1385*6</f>
        <v>15696</v>
      </c>
      <c r="E23" s="28">
        <f aca="true" t="shared" si="10" ref="E23:J23">15390.6*0.08</f>
        <v>1231.248</v>
      </c>
      <c r="F23" s="28">
        <f t="shared" si="10"/>
        <v>1231.248</v>
      </c>
      <c r="G23" s="28">
        <f t="shared" si="10"/>
        <v>1231.248</v>
      </c>
      <c r="H23" s="28">
        <f t="shared" si="10"/>
        <v>1231.248</v>
      </c>
      <c r="I23" s="28">
        <f t="shared" si="10"/>
        <v>1231.248</v>
      </c>
      <c r="J23" s="28">
        <f t="shared" si="10"/>
        <v>1231.248</v>
      </c>
      <c r="K23" s="28">
        <f aca="true" t="shared" si="11" ref="K23:P23">15390.6*0.09</f>
        <v>1385.154</v>
      </c>
      <c r="L23" s="28">
        <f t="shared" si="11"/>
        <v>1385.154</v>
      </c>
      <c r="M23" s="28">
        <f t="shared" si="11"/>
        <v>1385.154</v>
      </c>
      <c r="N23" s="28">
        <f t="shared" si="11"/>
        <v>1385.154</v>
      </c>
      <c r="O23" s="28">
        <f t="shared" si="11"/>
        <v>1385.154</v>
      </c>
      <c r="P23" s="28">
        <f t="shared" si="11"/>
        <v>1385.154</v>
      </c>
      <c r="Q23" s="28">
        <f>519*6+571*6</f>
        <v>6540</v>
      </c>
      <c r="R23" s="28">
        <f aca="true" t="shared" si="12" ref="R23:W23">5193.9*0.1</f>
        <v>519.39</v>
      </c>
      <c r="S23" s="28">
        <f t="shared" si="12"/>
        <v>519.39</v>
      </c>
      <c r="T23" s="28">
        <f t="shared" si="12"/>
        <v>519.39</v>
      </c>
      <c r="U23" s="28">
        <f t="shared" si="12"/>
        <v>519.39</v>
      </c>
      <c r="V23" s="28">
        <f t="shared" si="12"/>
        <v>519.39</v>
      </c>
      <c r="W23" s="28">
        <f t="shared" si="12"/>
        <v>519.39</v>
      </c>
      <c r="X23" s="28">
        <f aca="true" t="shared" si="13" ref="X23:AC23">5193.9*0.11</f>
        <v>571.329</v>
      </c>
      <c r="Y23" s="28">
        <f t="shared" si="13"/>
        <v>571.329</v>
      </c>
      <c r="Z23" s="28">
        <f t="shared" si="13"/>
        <v>571.329</v>
      </c>
      <c r="AA23" s="28">
        <f t="shared" si="13"/>
        <v>571.329</v>
      </c>
      <c r="AB23" s="28">
        <f t="shared" si="13"/>
        <v>571.329</v>
      </c>
      <c r="AC23" s="28">
        <f t="shared" si="13"/>
        <v>571.329</v>
      </c>
      <c r="AD23" s="42">
        <f>D23+Q23</f>
        <v>22236</v>
      </c>
      <c r="AE23" s="23"/>
      <c r="AF23" s="132">
        <f>2573.14*12</f>
        <v>30877.68</v>
      </c>
      <c r="AG23" s="62" t="s">
        <v>197</v>
      </c>
      <c r="AH23" s="26"/>
    </row>
    <row r="24" spans="2:34" ht="24" customHeight="1">
      <c r="B24" s="113" t="s">
        <v>99</v>
      </c>
      <c r="C24" s="27" t="s">
        <v>150</v>
      </c>
      <c r="D24" s="29">
        <f>E24*6+K24*6</f>
        <v>129281.03999999998</v>
      </c>
      <c r="E24" s="28">
        <f aca="true" t="shared" si="14" ref="E24:J24">0.69*15390.6</f>
        <v>10619.514</v>
      </c>
      <c r="F24" s="28">
        <f t="shared" si="14"/>
        <v>10619.514</v>
      </c>
      <c r="G24" s="28">
        <f t="shared" si="14"/>
        <v>10619.514</v>
      </c>
      <c r="H24" s="28">
        <f t="shared" si="14"/>
        <v>10619.514</v>
      </c>
      <c r="I24" s="28">
        <f t="shared" si="14"/>
        <v>10619.514</v>
      </c>
      <c r="J24" s="28">
        <f t="shared" si="14"/>
        <v>10619.514</v>
      </c>
      <c r="K24" s="28">
        <f aca="true" t="shared" si="15" ref="K24:P24">15390.6*0.71</f>
        <v>10927.326</v>
      </c>
      <c r="L24" s="28">
        <f t="shared" si="15"/>
        <v>10927.326</v>
      </c>
      <c r="M24" s="28">
        <f t="shared" si="15"/>
        <v>10927.326</v>
      </c>
      <c r="N24" s="28">
        <f t="shared" si="15"/>
        <v>10927.326</v>
      </c>
      <c r="O24" s="28">
        <f t="shared" si="15"/>
        <v>10927.326</v>
      </c>
      <c r="P24" s="28">
        <f t="shared" si="15"/>
        <v>10927.326</v>
      </c>
      <c r="Q24" s="29">
        <f>R24+S24+T24+U24+AB24+AC24+V24+W24+X24+Y24+Z24+AA24</f>
        <v>52666.146</v>
      </c>
      <c r="R24" s="28">
        <f aca="true" t="shared" si="16" ref="R24:W24">0.83*5193.9</f>
        <v>4310.937</v>
      </c>
      <c r="S24" s="28">
        <f t="shared" si="16"/>
        <v>4310.937</v>
      </c>
      <c r="T24" s="28">
        <f t="shared" si="16"/>
        <v>4310.937</v>
      </c>
      <c r="U24" s="28">
        <f t="shared" si="16"/>
        <v>4310.937</v>
      </c>
      <c r="V24" s="28">
        <f t="shared" si="16"/>
        <v>4310.937</v>
      </c>
      <c r="W24" s="28">
        <f t="shared" si="16"/>
        <v>4310.937</v>
      </c>
      <c r="X24" s="28">
        <f aca="true" t="shared" si="17" ref="X24:AC24">0.86*5193.9</f>
        <v>4466.754</v>
      </c>
      <c r="Y24" s="28">
        <f t="shared" si="17"/>
        <v>4466.754</v>
      </c>
      <c r="Z24" s="28">
        <f t="shared" si="17"/>
        <v>4466.754</v>
      </c>
      <c r="AA24" s="28">
        <f t="shared" si="17"/>
        <v>4466.754</v>
      </c>
      <c r="AB24" s="28">
        <f t="shared" si="17"/>
        <v>4466.754</v>
      </c>
      <c r="AC24" s="28">
        <f t="shared" si="17"/>
        <v>4466.754</v>
      </c>
      <c r="AD24" s="22">
        <f>Q24+D24</f>
        <v>181947.186</v>
      </c>
      <c r="AE24" s="23"/>
      <c r="AF24" s="34">
        <f>AF25+AF26-1</f>
        <v>181947</v>
      </c>
      <c r="AG24" s="62"/>
      <c r="AH24" s="26"/>
    </row>
    <row r="25" spans="2:34" ht="39" customHeight="1">
      <c r="B25" s="113" t="s">
        <v>151</v>
      </c>
      <c r="C25" s="27" t="s">
        <v>43</v>
      </c>
      <c r="D25" s="28">
        <f>1915*6+2107*6</f>
        <v>24132</v>
      </c>
      <c r="E25" s="28">
        <f aca="true" t="shared" si="18" ref="E25:P25">E24-E26</f>
        <v>1914.5139999999992</v>
      </c>
      <c r="F25" s="28">
        <f t="shared" si="18"/>
        <v>1914.5139999999992</v>
      </c>
      <c r="G25" s="28">
        <f t="shared" si="18"/>
        <v>1914.5139999999992</v>
      </c>
      <c r="H25" s="28">
        <f t="shared" si="18"/>
        <v>1914.5139999999992</v>
      </c>
      <c r="I25" s="28">
        <f t="shared" si="18"/>
        <v>1914.5139999999992</v>
      </c>
      <c r="J25" s="28">
        <f t="shared" si="18"/>
        <v>1914.5139999999992</v>
      </c>
      <c r="K25" s="28">
        <f t="shared" si="18"/>
        <v>2107.325999999999</v>
      </c>
      <c r="L25" s="28">
        <f t="shared" si="18"/>
        <v>2107.325999999999</v>
      </c>
      <c r="M25" s="28">
        <f t="shared" si="18"/>
        <v>2107.325999999999</v>
      </c>
      <c r="N25" s="28">
        <f t="shared" si="18"/>
        <v>2107.325999999999</v>
      </c>
      <c r="O25" s="28">
        <f t="shared" si="18"/>
        <v>2107.325999999999</v>
      </c>
      <c r="P25" s="28">
        <f t="shared" si="18"/>
        <v>2107.325999999999</v>
      </c>
      <c r="Q25" s="28">
        <f>R25+S25+T25+U25+AB25+AC25+V25+W25+X25+Y25+Z25+AA25</f>
        <v>8400</v>
      </c>
      <c r="R25" s="28">
        <v>690</v>
      </c>
      <c r="S25" s="28">
        <v>690</v>
      </c>
      <c r="T25" s="28">
        <v>690</v>
      </c>
      <c r="U25" s="28">
        <v>690</v>
      </c>
      <c r="V25" s="28">
        <v>690</v>
      </c>
      <c r="W25" s="28">
        <v>690</v>
      </c>
      <c r="X25" s="28">
        <v>710</v>
      </c>
      <c r="Y25" s="28">
        <v>710</v>
      </c>
      <c r="Z25" s="28">
        <v>710</v>
      </c>
      <c r="AA25" s="28">
        <v>710</v>
      </c>
      <c r="AB25" s="28">
        <v>710</v>
      </c>
      <c r="AC25" s="28">
        <v>710</v>
      </c>
      <c r="AD25" s="42">
        <f>D25+Q25</f>
        <v>32532</v>
      </c>
      <c r="AE25" s="23"/>
      <c r="AF25" s="132">
        <v>32532</v>
      </c>
      <c r="AG25" s="62" t="s">
        <v>178</v>
      </c>
      <c r="AH25" s="26"/>
    </row>
    <row r="26" spans="2:34" ht="26.25" customHeight="1">
      <c r="B26" s="113" t="s">
        <v>152</v>
      </c>
      <c r="C26" s="27" t="s">
        <v>188</v>
      </c>
      <c r="D26" s="28">
        <f>8705*6+8820*6</f>
        <v>105150</v>
      </c>
      <c r="E26" s="28">
        <v>8705</v>
      </c>
      <c r="F26" s="28">
        <v>8705</v>
      </c>
      <c r="G26" s="28">
        <v>8705</v>
      </c>
      <c r="H26" s="28">
        <v>8705</v>
      </c>
      <c r="I26" s="28">
        <v>8705</v>
      </c>
      <c r="J26" s="28">
        <v>8705</v>
      </c>
      <c r="K26" s="28">
        <v>8820</v>
      </c>
      <c r="L26" s="28">
        <v>8820</v>
      </c>
      <c r="M26" s="28">
        <v>8820</v>
      </c>
      <c r="N26" s="28">
        <v>8820</v>
      </c>
      <c r="O26" s="28">
        <v>8820</v>
      </c>
      <c r="P26" s="28">
        <v>8820</v>
      </c>
      <c r="Q26" s="28">
        <f>Z26+AA26+AB26+AC26+R26+S26+T26+U26+V26+W26+X26+Y26</f>
        <v>44266.14599999999</v>
      </c>
      <c r="R26" s="28">
        <f>R24-R25</f>
        <v>3620.937</v>
      </c>
      <c r="S26" s="28">
        <f aca="true" t="shared" si="19" ref="S26:AC26">S24-S25</f>
        <v>3620.937</v>
      </c>
      <c r="T26" s="28">
        <f t="shared" si="19"/>
        <v>3620.937</v>
      </c>
      <c r="U26" s="28">
        <f t="shared" si="19"/>
        <v>3620.937</v>
      </c>
      <c r="V26" s="28">
        <f t="shared" si="19"/>
        <v>3620.937</v>
      </c>
      <c r="W26" s="28">
        <f t="shared" si="19"/>
        <v>3620.937</v>
      </c>
      <c r="X26" s="28">
        <f t="shared" si="19"/>
        <v>3756.754</v>
      </c>
      <c r="Y26" s="28">
        <f t="shared" si="19"/>
        <v>3756.754</v>
      </c>
      <c r="Z26" s="28">
        <f t="shared" si="19"/>
        <v>3756.754</v>
      </c>
      <c r="AA26" s="28">
        <f t="shared" si="19"/>
        <v>3756.754</v>
      </c>
      <c r="AB26" s="28">
        <f t="shared" si="19"/>
        <v>3756.754</v>
      </c>
      <c r="AC26" s="28">
        <f t="shared" si="19"/>
        <v>3756.754</v>
      </c>
      <c r="AD26" s="42">
        <f>D26+Q26</f>
        <v>149416.146</v>
      </c>
      <c r="AE26" s="23"/>
      <c r="AF26" s="132">
        <v>149416</v>
      </c>
      <c r="AG26" s="86" t="s">
        <v>175</v>
      </c>
      <c r="AH26" s="26"/>
    </row>
    <row r="27" spans="2:34" ht="26.25" customHeight="1" hidden="1">
      <c r="B27" s="113"/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2"/>
      <c r="AE27" s="36"/>
      <c r="AF27" s="34"/>
      <c r="AG27" s="79"/>
      <c r="AH27" s="26"/>
    </row>
    <row r="28" spans="2:34" ht="22.5" customHeight="1">
      <c r="B28" s="88">
        <v>1.3</v>
      </c>
      <c r="C28" s="27" t="s">
        <v>121</v>
      </c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>20000*12</f>
        <v>240000</v>
      </c>
      <c r="R28" s="28">
        <v>20000</v>
      </c>
      <c r="S28" s="28">
        <v>20000</v>
      </c>
      <c r="T28" s="28">
        <v>20000</v>
      </c>
      <c r="U28" s="28">
        <v>20000</v>
      </c>
      <c r="V28" s="28">
        <v>20000</v>
      </c>
      <c r="W28" s="28">
        <v>20000</v>
      </c>
      <c r="X28" s="28">
        <v>20000</v>
      </c>
      <c r="Y28" s="28">
        <v>20000</v>
      </c>
      <c r="Z28" s="28">
        <v>20000</v>
      </c>
      <c r="AA28" s="28">
        <v>20000</v>
      </c>
      <c r="AB28" s="28">
        <v>20000</v>
      </c>
      <c r="AC28" s="28">
        <v>20000</v>
      </c>
      <c r="AD28" s="22">
        <f>Q28</f>
        <v>240000</v>
      </c>
      <c r="AE28" s="24"/>
      <c r="AF28" s="198">
        <f>AF29+AF30+AF31+AF33</f>
        <v>240000</v>
      </c>
      <c r="AG28" s="62"/>
      <c r="AH28" s="26"/>
    </row>
    <row r="29" spans="2:34" ht="24" customHeight="1">
      <c r="B29" s="113" t="s">
        <v>240</v>
      </c>
      <c r="C29" s="27" t="s">
        <v>205</v>
      </c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42"/>
      <c r="AE29" s="118"/>
      <c r="AF29" s="133">
        <f>18000*12</f>
        <v>216000</v>
      </c>
      <c r="AG29" s="62" t="s">
        <v>129</v>
      </c>
      <c r="AH29" s="26"/>
    </row>
    <row r="30" spans="2:34" ht="24" customHeight="1">
      <c r="B30" s="113" t="s">
        <v>241</v>
      </c>
      <c r="C30" s="92" t="s">
        <v>20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42"/>
      <c r="AE30" s="118"/>
      <c r="AF30" s="133">
        <v>7200</v>
      </c>
      <c r="AG30" s="25" t="s">
        <v>83</v>
      </c>
      <c r="AH30" s="26"/>
    </row>
    <row r="31" spans="2:34" ht="24" customHeight="1">
      <c r="B31" s="113" t="s">
        <v>242</v>
      </c>
      <c r="C31" s="27" t="s">
        <v>125</v>
      </c>
      <c r="D31" s="2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42"/>
      <c r="AE31" s="118"/>
      <c r="AF31" s="133">
        <v>7000</v>
      </c>
      <c r="AG31" s="86" t="s">
        <v>116</v>
      </c>
      <c r="AH31" s="26"/>
    </row>
    <row r="32" spans="2:34" ht="24" customHeight="1" hidden="1">
      <c r="B32" s="113"/>
      <c r="C32" s="27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42"/>
      <c r="AE32" s="118"/>
      <c r="AF32" s="133"/>
      <c r="AG32" s="86"/>
      <c r="AH32" s="26"/>
    </row>
    <row r="33" spans="2:34" ht="24" customHeight="1">
      <c r="B33" s="113" t="s">
        <v>243</v>
      </c>
      <c r="C33" s="27" t="s">
        <v>128</v>
      </c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42"/>
      <c r="AE33" s="118"/>
      <c r="AF33" s="133">
        <v>9800</v>
      </c>
      <c r="AG33" s="25" t="s">
        <v>57</v>
      </c>
      <c r="AH33" s="26"/>
    </row>
    <row r="34" spans="2:34" ht="20.25" customHeight="1">
      <c r="B34" s="117" t="s">
        <v>244</v>
      </c>
      <c r="C34" s="27" t="s">
        <v>53</v>
      </c>
      <c r="D34" s="22">
        <f>P34+O34+N34+M34+L34+K34+J34+I34+H34+G34+F34+E34</f>
        <v>410929.02</v>
      </c>
      <c r="E34" s="28">
        <f aca="true" t="shared" si="20" ref="E34:J34">15390.6*2.2</f>
        <v>33859.32000000001</v>
      </c>
      <c r="F34" s="28">
        <f t="shared" si="20"/>
        <v>33859.32000000001</v>
      </c>
      <c r="G34" s="28">
        <f t="shared" si="20"/>
        <v>33859.32000000001</v>
      </c>
      <c r="H34" s="28">
        <f t="shared" si="20"/>
        <v>33859.32000000001</v>
      </c>
      <c r="I34" s="28">
        <f t="shared" si="20"/>
        <v>33859.32000000001</v>
      </c>
      <c r="J34" s="28">
        <f t="shared" si="20"/>
        <v>33859.32000000001</v>
      </c>
      <c r="K34" s="28">
        <f aca="true" t="shared" si="21" ref="K34:P34">15390.6*2.25</f>
        <v>34628.85</v>
      </c>
      <c r="L34" s="28">
        <f t="shared" si="21"/>
        <v>34628.85</v>
      </c>
      <c r="M34" s="28">
        <f t="shared" si="21"/>
        <v>34628.85</v>
      </c>
      <c r="N34" s="28">
        <f t="shared" si="21"/>
        <v>34628.85</v>
      </c>
      <c r="O34" s="28">
        <f t="shared" si="21"/>
        <v>34628.85</v>
      </c>
      <c r="P34" s="28">
        <f t="shared" si="21"/>
        <v>34628.85</v>
      </c>
      <c r="Q34" s="2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2">
        <f>D34+Q34</f>
        <v>410929.02</v>
      </c>
      <c r="AE34" s="116"/>
      <c r="AF34" s="87">
        <f>AF35+AF36+AF37</f>
        <v>410929</v>
      </c>
      <c r="AG34" s="69"/>
      <c r="AH34" s="26"/>
    </row>
    <row r="35" spans="2:34" ht="27.75" customHeight="1">
      <c r="B35" s="113" t="s">
        <v>207</v>
      </c>
      <c r="C35" s="27" t="s">
        <v>122</v>
      </c>
      <c r="D35" s="2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2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2"/>
      <c r="AE35" s="116"/>
      <c r="AF35" s="191">
        <f>25000*12</f>
        <v>300000</v>
      </c>
      <c r="AG35" s="62" t="s">
        <v>129</v>
      </c>
      <c r="AH35" s="26"/>
    </row>
    <row r="36" spans="2:34" ht="27.75" customHeight="1">
      <c r="B36" s="113" t="s">
        <v>208</v>
      </c>
      <c r="C36" s="27" t="s">
        <v>127</v>
      </c>
      <c r="D36" s="2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2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2"/>
      <c r="AE36" s="116"/>
      <c r="AF36" s="191">
        <v>70000</v>
      </c>
      <c r="AG36" s="86" t="s">
        <v>106</v>
      </c>
      <c r="AH36" s="26"/>
    </row>
    <row r="37" spans="2:34" ht="27.75" customHeight="1">
      <c r="B37" s="113" t="s">
        <v>209</v>
      </c>
      <c r="C37" s="27" t="s">
        <v>128</v>
      </c>
      <c r="D37" s="22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2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2"/>
      <c r="AE37" s="116"/>
      <c r="AF37" s="191">
        <f>6169+34760</f>
        <v>40929</v>
      </c>
      <c r="AG37" s="25" t="s">
        <v>57</v>
      </c>
      <c r="AH37" s="26"/>
    </row>
    <row r="38" spans="2:34" ht="28.5" customHeight="1">
      <c r="B38" s="88">
        <v>2</v>
      </c>
      <c r="C38" s="27" t="s">
        <v>36</v>
      </c>
      <c r="D38" s="22">
        <f>P38+O38+N38+M38+L38+K38+J38+I38+H38+G38+F38+E38</f>
        <v>1175534.028</v>
      </c>
      <c r="E38" s="28">
        <f aca="true" t="shared" si="22" ref="E38:J38">15390.6*6.33</f>
        <v>97422.498</v>
      </c>
      <c r="F38" s="28">
        <f t="shared" si="22"/>
        <v>97422.498</v>
      </c>
      <c r="G38" s="28">
        <f t="shared" si="22"/>
        <v>97422.498</v>
      </c>
      <c r="H38" s="28">
        <f t="shared" si="22"/>
        <v>97422.498</v>
      </c>
      <c r="I38" s="28">
        <f t="shared" si="22"/>
        <v>97422.498</v>
      </c>
      <c r="J38" s="28">
        <f t="shared" si="22"/>
        <v>97422.498</v>
      </c>
      <c r="K38" s="28">
        <f aca="true" t="shared" si="23" ref="K38:P38">15390.6*6.4</f>
        <v>98499.84000000001</v>
      </c>
      <c r="L38" s="28">
        <f t="shared" si="23"/>
        <v>98499.84000000001</v>
      </c>
      <c r="M38" s="28">
        <f t="shared" si="23"/>
        <v>98499.84000000001</v>
      </c>
      <c r="N38" s="28">
        <f t="shared" si="23"/>
        <v>98499.84000000001</v>
      </c>
      <c r="O38" s="28">
        <f t="shared" si="23"/>
        <v>98499.84000000001</v>
      </c>
      <c r="P38" s="28">
        <f t="shared" si="23"/>
        <v>98499.84000000001</v>
      </c>
      <c r="Q38" s="22">
        <f>R38+S38+T38+U38+V38+W38+X38+Y38+Z38+AA38+AB38+AC38</f>
        <v>444390.0840000001</v>
      </c>
      <c r="R38" s="28">
        <f aca="true" t="shared" si="24" ref="R38:W38">5193.9*7.06</f>
        <v>36668.933999999994</v>
      </c>
      <c r="S38" s="28">
        <f t="shared" si="24"/>
        <v>36668.933999999994</v>
      </c>
      <c r="T38" s="28">
        <f t="shared" si="24"/>
        <v>36668.933999999994</v>
      </c>
      <c r="U38" s="28">
        <f t="shared" si="24"/>
        <v>36668.933999999994</v>
      </c>
      <c r="V38" s="28">
        <f t="shared" si="24"/>
        <v>36668.933999999994</v>
      </c>
      <c r="W38" s="28">
        <f t="shared" si="24"/>
        <v>36668.933999999994</v>
      </c>
      <c r="X38" s="28">
        <f aca="true" t="shared" si="25" ref="X38:AC38">5193.9*7.2</f>
        <v>37396.08</v>
      </c>
      <c r="Y38" s="28">
        <f t="shared" si="25"/>
        <v>37396.08</v>
      </c>
      <c r="Z38" s="28">
        <f t="shared" si="25"/>
        <v>37396.08</v>
      </c>
      <c r="AA38" s="28">
        <f t="shared" si="25"/>
        <v>37396.08</v>
      </c>
      <c r="AB38" s="28">
        <f t="shared" si="25"/>
        <v>37396.08</v>
      </c>
      <c r="AC38" s="28">
        <f t="shared" si="25"/>
        <v>37396.08</v>
      </c>
      <c r="AD38" s="22">
        <f>D38+Q38</f>
        <v>1619924.112</v>
      </c>
      <c r="AE38" s="23"/>
      <c r="AF38" s="192">
        <f>AF39+AF40+AF41+AF44+AF45</f>
        <v>1619924.04</v>
      </c>
      <c r="AG38" s="86"/>
      <c r="AH38" s="26"/>
    </row>
    <row r="39" spans="2:34" ht="23.25" customHeight="1">
      <c r="B39" s="88">
        <v>2.1</v>
      </c>
      <c r="C39" s="27" t="s">
        <v>110</v>
      </c>
      <c r="D39" s="2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2"/>
      <c r="AE39" s="23"/>
      <c r="AF39" s="130">
        <v>390584</v>
      </c>
      <c r="AG39" s="86" t="s">
        <v>175</v>
      </c>
      <c r="AH39" s="26"/>
    </row>
    <row r="40" spans="2:34" ht="26.25" customHeight="1" hidden="1">
      <c r="B40" s="88">
        <v>2.2</v>
      </c>
      <c r="C40" s="27" t="s">
        <v>170</v>
      </c>
      <c r="D40" s="22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2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2"/>
      <c r="AE40" s="23"/>
      <c r="AF40" s="130"/>
      <c r="AG40" s="86" t="s">
        <v>106</v>
      </c>
      <c r="AH40" s="26"/>
    </row>
    <row r="41" spans="2:34" ht="59.25" customHeight="1">
      <c r="B41" s="88">
        <v>2.2</v>
      </c>
      <c r="C41" s="27" t="s">
        <v>131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2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2"/>
      <c r="AE41" s="23"/>
      <c r="AF41" s="130">
        <f>593400+12902+4727.17*12-44266</f>
        <v>618762.04</v>
      </c>
      <c r="AG41" s="86" t="s">
        <v>133</v>
      </c>
      <c r="AH41" s="26"/>
    </row>
    <row r="42" spans="2:34" ht="27" customHeight="1">
      <c r="B42" s="113" t="s">
        <v>179</v>
      </c>
      <c r="C42" s="27" t="s">
        <v>168</v>
      </c>
      <c r="D42" s="2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2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2"/>
      <c r="AE42" s="23"/>
      <c r="AF42" s="130">
        <v>100000</v>
      </c>
      <c r="AG42" s="86" t="s">
        <v>157</v>
      </c>
      <c r="AH42" s="26"/>
    </row>
    <row r="43" spans="2:34" ht="35.25" customHeight="1" hidden="1">
      <c r="B43" s="113" t="s">
        <v>173</v>
      </c>
      <c r="C43" s="27"/>
      <c r="D43" s="2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2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2"/>
      <c r="AE43" s="23"/>
      <c r="AF43" s="130"/>
      <c r="AG43" s="86" t="s">
        <v>172</v>
      </c>
      <c r="AH43" s="26"/>
    </row>
    <row r="44" spans="2:34" ht="25.5" customHeight="1">
      <c r="B44" s="88">
        <v>2.3</v>
      </c>
      <c r="C44" s="27" t="s">
        <v>132</v>
      </c>
      <c r="D44" s="22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2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2"/>
      <c r="AE44" s="23"/>
      <c r="AF44" s="130">
        <f>215600+6856-6678</f>
        <v>215778</v>
      </c>
      <c r="AG44" s="86" t="s">
        <v>156</v>
      </c>
      <c r="AH44" s="26"/>
    </row>
    <row r="45" spans="2:34" ht="59.25" customHeight="1">
      <c r="B45" s="88">
        <v>2.4</v>
      </c>
      <c r="C45" s="27" t="s">
        <v>142</v>
      </c>
      <c r="D45" s="22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2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2"/>
      <c r="AE45" s="23"/>
      <c r="AF45" s="130">
        <v>394800</v>
      </c>
      <c r="AG45" s="86" t="s">
        <v>133</v>
      </c>
      <c r="AH45" s="26"/>
    </row>
    <row r="46" spans="2:34" ht="34.5" customHeight="1" hidden="1">
      <c r="B46" s="113" t="s">
        <v>180</v>
      </c>
      <c r="C46" s="27"/>
      <c r="D46" s="22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2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2"/>
      <c r="AE46" s="23"/>
      <c r="AF46" s="130"/>
      <c r="AG46" s="86"/>
      <c r="AH46" s="26"/>
    </row>
    <row r="47" spans="2:34" ht="39" customHeight="1">
      <c r="B47" s="113" t="s">
        <v>180</v>
      </c>
      <c r="C47" s="27" t="s">
        <v>163</v>
      </c>
      <c r="D47" s="2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2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2"/>
      <c r="AE47" s="23"/>
      <c r="AF47" s="130">
        <v>120000</v>
      </c>
      <c r="AG47" s="86" t="s">
        <v>172</v>
      </c>
      <c r="AH47" s="26"/>
    </row>
    <row r="48" spans="2:34" ht="21.75" customHeight="1">
      <c r="B48" s="113" t="s">
        <v>181</v>
      </c>
      <c r="C48" s="27" t="s">
        <v>187</v>
      </c>
      <c r="D48" s="22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2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2"/>
      <c r="AE48" s="23"/>
      <c r="AF48" s="130">
        <v>150000</v>
      </c>
      <c r="AG48" s="86" t="s">
        <v>157</v>
      </c>
      <c r="AH48" s="26"/>
    </row>
    <row r="49" spans="2:34" ht="20.25" customHeight="1">
      <c r="B49" s="88">
        <v>3</v>
      </c>
      <c r="C49" s="27" t="s">
        <v>34</v>
      </c>
      <c r="D49" s="22">
        <f>P49+O49+N49+M49+L49+K49+J49+I49+H49+G49+F49+E49</f>
        <v>409082.14800000004</v>
      </c>
      <c r="E49" s="28">
        <f aca="true" t="shared" si="26" ref="E49:J49">15390.6*2.1</f>
        <v>32320.260000000002</v>
      </c>
      <c r="F49" s="28">
        <f t="shared" si="26"/>
        <v>32320.260000000002</v>
      </c>
      <c r="G49" s="28">
        <f t="shared" si="26"/>
        <v>32320.260000000002</v>
      </c>
      <c r="H49" s="28">
        <f t="shared" si="26"/>
        <v>32320.260000000002</v>
      </c>
      <c r="I49" s="28">
        <f t="shared" si="26"/>
        <v>32320.260000000002</v>
      </c>
      <c r="J49" s="28">
        <f t="shared" si="26"/>
        <v>32320.260000000002</v>
      </c>
      <c r="K49" s="28">
        <f aca="true" t="shared" si="27" ref="K49:P49">15390.6*2.33</f>
        <v>35860.098000000005</v>
      </c>
      <c r="L49" s="28">
        <f t="shared" si="27"/>
        <v>35860.098000000005</v>
      </c>
      <c r="M49" s="28">
        <f t="shared" si="27"/>
        <v>35860.098000000005</v>
      </c>
      <c r="N49" s="28">
        <f t="shared" si="27"/>
        <v>35860.098000000005</v>
      </c>
      <c r="O49" s="28">
        <f t="shared" si="27"/>
        <v>35860.098000000005</v>
      </c>
      <c r="P49" s="28">
        <f t="shared" si="27"/>
        <v>35860.098000000005</v>
      </c>
      <c r="Q49" s="22">
        <f>R49+S49+T49+U49+V49+W49+X49+Y49+Z49+AA49+AB49+AC49</f>
        <v>165789.28799999994</v>
      </c>
      <c r="R49" s="28">
        <f aca="true" t="shared" si="28" ref="R49:W49">5193.9*2.52</f>
        <v>13088.627999999999</v>
      </c>
      <c r="S49" s="28">
        <f t="shared" si="28"/>
        <v>13088.627999999999</v>
      </c>
      <c r="T49" s="28">
        <f t="shared" si="28"/>
        <v>13088.627999999999</v>
      </c>
      <c r="U49" s="28">
        <f t="shared" si="28"/>
        <v>13088.627999999999</v>
      </c>
      <c r="V49" s="28">
        <f t="shared" si="28"/>
        <v>13088.627999999999</v>
      </c>
      <c r="W49" s="28">
        <f t="shared" si="28"/>
        <v>13088.627999999999</v>
      </c>
      <c r="X49" s="28">
        <f aca="true" t="shared" si="29" ref="X49:AC49">5193.9*2.8</f>
        <v>14542.919999999998</v>
      </c>
      <c r="Y49" s="28">
        <f t="shared" si="29"/>
        <v>14542.919999999998</v>
      </c>
      <c r="Z49" s="28">
        <f t="shared" si="29"/>
        <v>14542.919999999998</v>
      </c>
      <c r="AA49" s="28">
        <f t="shared" si="29"/>
        <v>14542.919999999998</v>
      </c>
      <c r="AB49" s="28">
        <f t="shared" si="29"/>
        <v>14542.919999999998</v>
      </c>
      <c r="AC49" s="28">
        <f t="shared" si="29"/>
        <v>14542.919999999998</v>
      </c>
      <c r="AD49" s="22">
        <f>D49+Q49</f>
        <v>574871.436</v>
      </c>
      <c r="AE49" s="23"/>
      <c r="AF49" s="24">
        <f>AF50+AF51+AF52+AF53+AF54</f>
        <v>574871</v>
      </c>
      <c r="AG49" s="69"/>
      <c r="AH49" s="26"/>
    </row>
    <row r="50" spans="2:34" ht="26.25" customHeight="1">
      <c r="B50" s="113" t="s">
        <v>100</v>
      </c>
      <c r="C50" s="27" t="s">
        <v>123</v>
      </c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2"/>
      <c r="AE50" s="23"/>
      <c r="AF50" s="133">
        <v>319716</v>
      </c>
      <c r="AG50" s="62" t="s">
        <v>129</v>
      </c>
      <c r="AH50" s="26"/>
    </row>
    <row r="51" spans="2:34" ht="24" customHeight="1">
      <c r="B51" s="113" t="s">
        <v>212</v>
      </c>
      <c r="C51" s="27" t="s">
        <v>169</v>
      </c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2"/>
      <c r="AE51" s="23"/>
      <c r="AF51" s="133">
        <v>45000</v>
      </c>
      <c r="AG51" s="86" t="s">
        <v>107</v>
      </c>
      <c r="AH51" s="26"/>
    </row>
    <row r="52" spans="2:34" ht="24" customHeight="1">
      <c r="B52" s="113" t="s">
        <v>213</v>
      </c>
      <c r="C52" s="27" t="s">
        <v>192</v>
      </c>
      <c r="D52" s="29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2"/>
      <c r="AE52" s="23"/>
      <c r="AF52" s="133">
        <f>149388-9874+641</f>
        <v>140155</v>
      </c>
      <c r="AG52" s="86" t="s">
        <v>116</v>
      </c>
      <c r="AH52" s="26"/>
    </row>
    <row r="53" spans="2:34" ht="24" customHeight="1" hidden="1">
      <c r="B53" s="113" t="s">
        <v>124</v>
      </c>
      <c r="C53" s="27" t="s">
        <v>125</v>
      </c>
      <c r="D53" s="29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2"/>
      <c r="AE53" s="23"/>
      <c r="AF53" s="133"/>
      <c r="AG53" s="86" t="s">
        <v>116</v>
      </c>
      <c r="AH53" s="26"/>
    </row>
    <row r="54" spans="2:34" ht="24" customHeight="1">
      <c r="B54" s="113" t="s">
        <v>214</v>
      </c>
      <c r="C54" s="27" t="s">
        <v>176</v>
      </c>
      <c r="D54" s="29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2"/>
      <c r="AE54" s="23"/>
      <c r="AF54" s="133">
        <v>70000</v>
      </c>
      <c r="AG54" s="86" t="s">
        <v>107</v>
      </c>
      <c r="AH54" s="26"/>
    </row>
    <row r="55" spans="2:34" ht="17.25" customHeight="1">
      <c r="B55" s="88">
        <v>4</v>
      </c>
      <c r="C55" s="27" t="s">
        <v>35</v>
      </c>
      <c r="D55" s="22">
        <f>P55+O55+N55+M55+L55+K55+J55+I55+H55+G55+F55+E55</f>
        <v>723050.3880000002</v>
      </c>
      <c r="E55" s="28">
        <f aca="true" t="shared" si="30" ref="E55:J55">15390.6*3.88</f>
        <v>59715.528</v>
      </c>
      <c r="F55" s="28">
        <f t="shared" si="30"/>
        <v>59715.528</v>
      </c>
      <c r="G55" s="28">
        <f t="shared" si="30"/>
        <v>59715.528</v>
      </c>
      <c r="H55" s="28">
        <f t="shared" si="30"/>
        <v>59715.528</v>
      </c>
      <c r="I55" s="28">
        <f t="shared" si="30"/>
        <v>59715.528</v>
      </c>
      <c r="J55" s="28">
        <f t="shared" si="30"/>
        <v>59715.528</v>
      </c>
      <c r="K55" s="28">
        <f aca="true" t="shared" si="31" ref="K55:P55">15390.6*3.95</f>
        <v>60792.87</v>
      </c>
      <c r="L55" s="28">
        <f t="shared" si="31"/>
        <v>60792.87</v>
      </c>
      <c r="M55" s="28">
        <f t="shared" si="31"/>
        <v>60792.87</v>
      </c>
      <c r="N55" s="28">
        <f t="shared" si="31"/>
        <v>60792.87</v>
      </c>
      <c r="O55" s="28">
        <f t="shared" si="31"/>
        <v>60792.87</v>
      </c>
      <c r="P55" s="28">
        <f t="shared" si="31"/>
        <v>60792.87</v>
      </c>
      <c r="Q55" s="22">
        <f>R55+S55+T55+U55+V55+W55+X55+Y55+Z55+AA55+AB55+AC55</f>
        <v>292935.96</v>
      </c>
      <c r="R55" s="42">
        <f aca="true" t="shared" si="32" ref="R55:W55">5193.9*4.66</f>
        <v>24203.574</v>
      </c>
      <c r="S55" s="42">
        <f t="shared" si="32"/>
        <v>24203.574</v>
      </c>
      <c r="T55" s="42">
        <f t="shared" si="32"/>
        <v>24203.574</v>
      </c>
      <c r="U55" s="42">
        <f t="shared" si="32"/>
        <v>24203.574</v>
      </c>
      <c r="V55" s="42">
        <f t="shared" si="32"/>
        <v>24203.574</v>
      </c>
      <c r="W55" s="42">
        <f t="shared" si="32"/>
        <v>24203.574</v>
      </c>
      <c r="X55" s="42">
        <f aca="true" t="shared" si="33" ref="X55:AC55">5193.9*4.74</f>
        <v>24619.086</v>
      </c>
      <c r="Y55" s="42">
        <f t="shared" si="33"/>
        <v>24619.086</v>
      </c>
      <c r="Z55" s="42">
        <f t="shared" si="33"/>
        <v>24619.086</v>
      </c>
      <c r="AA55" s="42">
        <f t="shared" si="33"/>
        <v>24619.086</v>
      </c>
      <c r="AB55" s="42">
        <f t="shared" si="33"/>
        <v>24619.086</v>
      </c>
      <c r="AC55" s="42">
        <f t="shared" si="33"/>
        <v>24619.086</v>
      </c>
      <c r="AD55" s="22">
        <f>D55+Q55</f>
        <v>1015986.3480000002</v>
      </c>
      <c r="AE55" s="23"/>
      <c r="AF55" s="24">
        <f>AF56+AF58+AF59+AF60+AF61+AF65+AF62+AF63+AF66+AF67+AF68+AF69+AF57+AF70+AF64</f>
        <v>1015986</v>
      </c>
      <c r="AG55" s="25"/>
      <c r="AH55" s="26"/>
    </row>
    <row r="56" spans="1:35" s="101" customFormat="1" ht="28.5" customHeight="1">
      <c r="A56" s="98"/>
      <c r="B56" s="113" t="s">
        <v>101</v>
      </c>
      <c r="C56" s="27" t="s">
        <v>12</v>
      </c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2"/>
      <c r="AE56" s="23"/>
      <c r="AF56" s="132">
        <f>5500*12</f>
        <v>66000</v>
      </c>
      <c r="AG56" s="62" t="s">
        <v>48</v>
      </c>
      <c r="AH56" s="99"/>
      <c r="AI56" s="100"/>
    </row>
    <row r="57" spans="1:35" s="101" customFormat="1" ht="28.5" customHeight="1">
      <c r="A57" s="98"/>
      <c r="B57" s="113" t="s">
        <v>102</v>
      </c>
      <c r="C57" s="27" t="s">
        <v>231</v>
      </c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2"/>
      <c r="AE57" s="23"/>
      <c r="AF57" s="132">
        <v>5000</v>
      </c>
      <c r="AG57" s="62" t="s">
        <v>186</v>
      </c>
      <c r="AH57" s="99"/>
      <c r="AI57" s="100"/>
    </row>
    <row r="58" spans="1:35" s="101" customFormat="1" ht="25.5" customHeight="1">
      <c r="A58" s="98"/>
      <c r="B58" s="113" t="s">
        <v>103</v>
      </c>
      <c r="C58" s="27" t="s">
        <v>13</v>
      </c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2"/>
      <c r="AE58" s="23"/>
      <c r="AF58" s="132">
        <f>68500-30+6452</f>
        <v>74922</v>
      </c>
      <c r="AG58" s="62" t="s">
        <v>198</v>
      </c>
      <c r="AH58" s="99"/>
      <c r="AI58" s="100"/>
    </row>
    <row r="59" spans="1:35" s="101" customFormat="1" ht="45.75" customHeight="1">
      <c r="A59" s="98"/>
      <c r="B59" s="113" t="s">
        <v>113</v>
      </c>
      <c r="C59" s="27" t="s">
        <v>111</v>
      </c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2"/>
      <c r="AE59" s="118"/>
      <c r="AF59" s="132">
        <f>(3471+1700+500)*12</f>
        <v>68052</v>
      </c>
      <c r="AG59" s="62" t="s">
        <v>112</v>
      </c>
      <c r="AH59" s="99"/>
      <c r="AI59" s="100"/>
    </row>
    <row r="60" spans="1:35" s="101" customFormat="1" ht="24" customHeight="1">
      <c r="A60" s="98"/>
      <c r="B60" s="113" t="s">
        <v>114</v>
      </c>
      <c r="C60" s="27" t="s">
        <v>11</v>
      </c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2"/>
      <c r="AE60" s="23"/>
      <c r="AF60" s="132">
        <f>1500*12</f>
        <v>18000</v>
      </c>
      <c r="AG60" s="62" t="s">
        <v>55</v>
      </c>
      <c r="AH60" s="99"/>
      <c r="AI60" s="100"/>
    </row>
    <row r="61" spans="1:35" s="101" customFormat="1" ht="24.75" customHeight="1">
      <c r="A61" s="98"/>
      <c r="B61" s="113" t="s">
        <v>115</v>
      </c>
      <c r="C61" s="27" t="s">
        <v>41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2"/>
      <c r="AE61" s="23"/>
      <c r="AF61" s="132">
        <v>45000</v>
      </c>
      <c r="AG61" s="25" t="s">
        <v>157</v>
      </c>
      <c r="AH61" s="99"/>
      <c r="AI61" s="100"/>
    </row>
    <row r="62" spans="1:35" s="101" customFormat="1" ht="24.75" customHeight="1">
      <c r="A62" s="98"/>
      <c r="B62" s="113" t="s">
        <v>117</v>
      </c>
      <c r="C62" s="27" t="s">
        <v>215</v>
      </c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2"/>
      <c r="AE62" s="23"/>
      <c r="AF62" s="132">
        <f>3000*12</f>
        <v>36000</v>
      </c>
      <c r="AG62" s="65" t="s">
        <v>154</v>
      </c>
      <c r="AH62" s="99"/>
      <c r="AI62" s="100"/>
    </row>
    <row r="63" spans="1:35" s="105" customFormat="1" ht="26.25" customHeight="1">
      <c r="A63" s="102"/>
      <c r="B63" s="113" t="s">
        <v>118</v>
      </c>
      <c r="C63" s="92" t="s">
        <v>211</v>
      </c>
      <c r="D63" s="44"/>
      <c r="E63" s="45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5"/>
      <c r="Q63" s="44"/>
      <c r="R63" s="45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35"/>
      <c r="AD63" s="35"/>
      <c r="AE63" s="24"/>
      <c r="AF63" s="93">
        <v>50000</v>
      </c>
      <c r="AG63" s="25" t="s">
        <v>157</v>
      </c>
      <c r="AH63" s="103"/>
      <c r="AI63" s="104"/>
    </row>
    <row r="64" spans="1:35" s="105" customFormat="1" ht="26.25" customHeight="1">
      <c r="A64" s="102"/>
      <c r="B64" s="113" t="s">
        <v>216</v>
      </c>
      <c r="C64" s="92" t="s">
        <v>222</v>
      </c>
      <c r="D64" s="44"/>
      <c r="E64" s="45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35"/>
      <c r="Q64" s="44"/>
      <c r="R64" s="45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35"/>
      <c r="AD64" s="35"/>
      <c r="AE64" s="24"/>
      <c r="AF64" s="93">
        <v>10000</v>
      </c>
      <c r="AG64" s="25" t="s">
        <v>223</v>
      </c>
      <c r="AH64" s="103"/>
      <c r="AI64" s="104"/>
    </row>
    <row r="65" spans="1:35" s="105" customFormat="1" ht="27.75" customHeight="1">
      <c r="A65" s="102"/>
      <c r="B65" s="113" t="s">
        <v>217</v>
      </c>
      <c r="C65" s="26" t="s">
        <v>119</v>
      </c>
      <c r="D65" s="44"/>
      <c r="E65" s="45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35"/>
      <c r="Q65" s="44"/>
      <c r="R65" s="45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35"/>
      <c r="AD65" s="35"/>
      <c r="AE65" s="24"/>
      <c r="AF65" s="93">
        <v>100000</v>
      </c>
      <c r="AG65" s="65" t="s">
        <v>120</v>
      </c>
      <c r="AH65" s="103"/>
      <c r="AI65" s="104"/>
    </row>
    <row r="66" spans="1:35" s="105" customFormat="1" ht="27.75" customHeight="1">
      <c r="A66" s="102"/>
      <c r="B66" s="113" t="s">
        <v>218</v>
      </c>
      <c r="C66" s="84" t="s">
        <v>183</v>
      </c>
      <c r="D66" s="44"/>
      <c r="E66" s="11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20"/>
      <c r="Q66" s="44"/>
      <c r="R66" s="11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120"/>
      <c r="AD66" s="35"/>
      <c r="AE66" s="24"/>
      <c r="AF66" s="93">
        <v>5000</v>
      </c>
      <c r="AG66" s="65" t="s">
        <v>154</v>
      </c>
      <c r="AH66" s="103"/>
      <c r="AI66" s="104"/>
    </row>
    <row r="67" spans="1:35" s="105" customFormat="1" ht="27.75" customHeight="1">
      <c r="A67" s="102"/>
      <c r="B67" s="113" t="s">
        <v>219</v>
      </c>
      <c r="C67" s="26" t="s">
        <v>58</v>
      </c>
      <c r="D67" s="44"/>
      <c r="E67" s="11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120"/>
      <c r="Q67" s="44"/>
      <c r="R67" s="11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120"/>
      <c r="AD67" s="35"/>
      <c r="AE67" s="24"/>
      <c r="AF67" s="93">
        <v>40000</v>
      </c>
      <c r="AG67" s="65" t="s">
        <v>104</v>
      </c>
      <c r="AH67" s="103"/>
      <c r="AI67" s="104"/>
    </row>
    <row r="68" spans="1:35" s="105" customFormat="1" ht="27.75" customHeight="1">
      <c r="A68" s="102"/>
      <c r="B68" s="113" t="s">
        <v>220</v>
      </c>
      <c r="C68" s="84" t="s">
        <v>184</v>
      </c>
      <c r="D68" s="44"/>
      <c r="E68" s="11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120"/>
      <c r="Q68" s="44"/>
      <c r="R68" s="11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120"/>
      <c r="AD68" s="35"/>
      <c r="AE68" s="24"/>
      <c r="AF68" s="93">
        <f>25000*12</f>
        <v>300000</v>
      </c>
      <c r="AG68" s="62" t="s">
        <v>54</v>
      </c>
      <c r="AH68" s="103"/>
      <c r="AI68" s="104"/>
    </row>
    <row r="69" spans="1:35" s="105" customFormat="1" ht="27.75" customHeight="1">
      <c r="A69" s="102"/>
      <c r="B69" s="113" t="s">
        <v>210</v>
      </c>
      <c r="C69" s="27" t="s">
        <v>185</v>
      </c>
      <c r="D69" s="44"/>
      <c r="E69" s="11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20"/>
      <c r="Q69" s="44"/>
      <c r="R69" s="11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120"/>
      <c r="AD69" s="35"/>
      <c r="AE69" s="24"/>
      <c r="AF69" s="93">
        <f>7550*12</f>
        <v>90600</v>
      </c>
      <c r="AG69" s="62" t="s">
        <v>54</v>
      </c>
      <c r="AH69" s="103"/>
      <c r="AI69" s="104"/>
    </row>
    <row r="70" spans="1:35" s="105" customFormat="1" ht="27.75" customHeight="1">
      <c r="A70" s="102"/>
      <c r="B70" s="113" t="s">
        <v>221</v>
      </c>
      <c r="C70" s="27" t="s">
        <v>194</v>
      </c>
      <c r="D70" s="44"/>
      <c r="E70" s="11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20"/>
      <c r="Q70" s="44"/>
      <c r="R70" s="11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120"/>
      <c r="AD70" s="35"/>
      <c r="AE70" s="24"/>
      <c r="AF70" s="93">
        <f>3900*12+5051*12</f>
        <v>107412</v>
      </c>
      <c r="AG70" s="86" t="s">
        <v>195</v>
      </c>
      <c r="AH70" s="103"/>
      <c r="AI70" s="104"/>
    </row>
    <row r="71" spans="2:34" ht="33" customHeight="1">
      <c r="B71" s="88">
        <v>5</v>
      </c>
      <c r="C71" s="27" t="s">
        <v>38</v>
      </c>
      <c r="D71" s="22">
        <f>15000*12-60000</f>
        <v>120000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2">
        <v>60000</v>
      </c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2">
        <v>180000</v>
      </c>
      <c r="AE71" s="23"/>
      <c r="AF71" s="24">
        <v>180000</v>
      </c>
      <c r="AG71" s="62" t="s">
        <v>224</v>
      </c>
      <c r="AH71" s="26"/>
    </row>
    <row r="72" spans="2:34" ht="26.25" customHeight="1">
      <c r="B72" s="88">
        <v>6</v>
      </c>
      <c r="C72" s="27" t="s">
        <v>37</v>
      </c>
      <c r="D72" s="22">
        <f>P72+O72+N72+M72+L72+K72+J72+I72+H72+G72+F72+E72</f>
        <v>183763.764</v>
      </c>
      <c r="E72" s="28">
        <f aca="true" t="shared" si="34" ref="E72:J72">15390.6*0.98</f>
        <v>15082.788</v>
      </c>
      <c r="F72" s="28">
        <f t="shared" si="34"/>
        <v>15082.788</v>
      </c>
      <c r="G72" s="28">
        <f t="shared" si="34"/>
        <v>15082.788</v>
      </c>
      <c r="H72" s="28">
        <f t="shared" si="34"/>
        <v>15082.788</v>
      </c>
      <c r="I72" s="28">
        <f t="shared" si="34"/>
        <v>15082.788</v>
      </c>
      <c r="J72" s="28">
        <f t="shared" si="34"/>
        <v>15082.788</v>
      </c>
      <c r="K72" s="28">
        <f aca="true" t="shared" si="35" ref="K72:P72">15390.6*1.01</f>
        <v>15544.506000000001</v>
      </c>
      <c r="L72" s="28">
        <f t="shared" si="35"/>
        <v>15544.506000000001</v>
      </c>
      <c r="M72" s="28">
        <f t="shared" si="35"/>
        <v>15544.506000000001</v>
      </c>
      <c r="N72" s="28">
        <f t="shared" si="35"/>
        <v>15544.506000000001</v>
      </c>
      <c r="O72" s="28">
        <f t="shared" si="35"/>
        <v>15544.506000000001</v>
      </c>
      <c r="P72" s="28">
        <f t="shared" si="35"/>
        <v>15544.506000000001</v>
      </c>
      <c r="Q72" s="22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2">
        <f>D72+Q72</f>
        <v>183763.764</v>
      </c>
      <c r="AE72" s="23"/>
      <c r="AF72" s="34">
        <f>15307.5*12</f>
        <v>183690</v>
      </c>
      <c r="AG72" s="62" t="s">
        <v>47</v>
      </c>
      <c r="AH72" s="26"/>
    </row>
    <row r="73" spans="2:34" ht="26.25" customHeight="1">
      <c r="B73" s="88">
        <v>7</v>
      </c>
      <c r="C73" s="27" t="s">
        <v>126</v>
      </c>
      <c r="D73" s="29">
        <f>10312*12</f>
        <v>123744</v>
      </c>
      <c r="E73" s="28">
        <f>15390.6*0.67</f>
        <v>10311.702000000001</v>
      </c>
      <c r="F73" s="28">
        <f aca="true" t="shared" si="36" ref="F73:P73">15390.6*0.67</f>
        <v>10311.702000000001</v>
      </c>
      <c r="G73" s="28">
        <f t="shared" si="36"/>
        <v>10311.702000000001</v>
      </c>
      <c r="H73" s="28">
        <f t="shared" si="36"/>
        <v>10311.702000000001</v>
      </c>
      <c r="I73" s="28">
        <f t="shared" si="36"/>
        <v>10311.702000000001</v>
      </c>
      <c r="J73" s="28">
        <f t="shared" si="36"/>
        <v>10311.702000000001</v>
      </c>
      <c r="K73" s="28">
        <f t="shared" si="36"/>
        <v>10311.702000000001</v>
      </c>
      <c r="L73" s="28">
        <f t="shared" si="36"/>
        <v>10311.702000000001</v>
      </c>
      <c r="M73" s="28">
        <f t="shared" si="36"/>
        <v>10311.702000000001</v>
      </c>
      <c r="N73" s="28">
        <f t="shared" si="36"/>
        <v>10311.702000000001</v>
      </c>
      <c r="O73" s="28">
        <f t="shared" si="36"/>
        <v>10311.702000000001</v>
      </c>
      <c r="P73" s="28">
        <f t="shared" si="36"/>
        <v>10311.702000000001</v>
      </c>
      <c r="Q73" s="29">
        <f>4207*12</f>
        <v>50484</v>
      </c>
      <c r="R73" s="28">
        <f>5193.9*0.81</f>
        <v>4207.059</v>
      </c>
      <c r="S73" s="28">
        <f aca="true" t="shared" si="37" ref="S73:AC73">5193.9*0.81</f>
        <v>4207.059</v>
      </c>
      <c r="T73" s="28">
        <f t="shared" si="37"/>
        <v>4207.059</v>
      </c>
      <c r="U73" s="28">
        <f t="shared" si="37"/>
        <v>4207.059</v>
      </c>
      <c r="V73" s="28">
        <f t="shared" si="37"/>
        <v>4207.059</v>
      </c>
      <c r="W73" s="28">
        <f t="shared" si="37"/>
        <v>4207.059</v>
      </c>
      <c r="X73" s="28">
        <f t="shared" si="37"/>
        <v>4207.059</v>
      </c>
      <c r="Y73" s="28">
        <f t="shared" si="37"/>
        <v>4207.059</v>
      </c>
      <c r="Z73" s="28">
        <f t="shared" si="37"/>
        <v>4207.059</v>
      </c>
      <c r="AA73" s="28">
        <f t="shared" si="37"/>
        <v>4207.059</v>
      </c>
      <c r="AB73" s="28">
        <f t="shared" si="37"/>
        <v>4207.059</v>
      </c>
      <c r="AC73" s="28">
        <f t="shared" si="37"/>
        <v>4207.059</v>
      </c>
      <c r="AD73" s="22">
        <f>D73+Q73</f>
        <v>174228</v>
      </c>
      <c r="AE73" s="23"/>
      <c r="AF73" s="34">
        <v>174228</v>
      </c>
      <c r="AG73" s="86" t="s">
        <v>130</v>
      </c>
      <c r="AH73" s="26"/>
    </row>
    <row r="74" spans="1:35" s="156" customFormat="1" ht="13.5" customHeight="1">
      <c r="A74" s="145"/>
      <c r="B74" s="146"/>
      <c r="C74" s="147"/>
      <c r="D74" s="148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1"/>
      <c r="Q74" s="148"/>
      <c r="R74" s="149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1"/>
      <c r="AD74" s="151"/>
      <c r="AE74" s="152"/>
      <c r="AF74" s="152"/>
      <c r="AG74" s="153"/>
      <c r="AH74" s="154"/>
      <c r="AI74" s="155"/>
    </row>
    <row r="75" spans="1:35" s="39" customFormat="1" ht="29.25" customHeight="1">
      <c r="A75" s="5"/>
      <c r="B75" s="32">
        <v>2</v>
      </c>
      <c r="C75" s="33" t="s">
        <v>45</v>
      </c>
      <c r="D75" s="34">
        <f>D76</f>
        <v>188110.56000000003</v>
      </c>
      <c r="E75" s="32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5"/>
      <c r="Q75" s="34"/>
      <c r="R75" s="32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5"/>
      <c r="AD75" s="24">
        <f>D75</f>
        <v>188110.56000000003</v>
      </c>
      <c r="AE75" s="24"/>
      <c r="AF75" s="24">
        <f>AF76+AF77+AF78+AF79</f>
        <v>463185</v>
      </c>
      <c r="AG75" s="37"/>
      <c r="AH75" s="26"/>
      <c r="AI75" s="38"/>
    </row>
    <row r="76" spans="2:34" ht="32.25" customHeight="1">
      <c r="B76" s="40">
        <v>2.1</v>
      </c>
      <c r="C76" s="92" t="s">
        <v>14</v>
      </c>
      <c r="D76" s="194">
        <f>E76+F76+G76+H76+I76+J76+K76+P76+O76+N76+M76+L76</f>
        <v>188110.56000000003</v>
      </c>
      <c r="E76" s="41">
        <v>15675.88</v>
      </c>
      <c r="F76" s="41">
        <v>15675.88</v>
      </c>
      <c r="G76" s="41">
        <v>15675.88</v>
      </c>
      <c r="H76" s="41">
        <v>15675.88</v>
      </c>
      <c r="I76" s="41">
        <v>15675.88</v>
      </c>
      <c r="J76" s="41">
        <v>15675.88</v>
      </c>
      <c r="K76" s="41">
        <v>15675.88</v>
      </c>
      <c r="L76" s="41">
        <v>15675.88</v>
      </c>
      <c r="M76" s="41">
        <v>15675.88</v>
      </c>
      <c r="N76" s="41">
        <v>15675.88</v>
      </c>
      <c r="O76" s="41">
        <v>15675.88</v>
      </c>
      <c r="P76" s="41">
        <v>15675.88</v>
      </c>
      <c r="Q76" s="26"/>
      <c r="R76" s="41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121"/>
      <c r="AD76" s="121"/>
      <c r="AE76" s="94"/>
      <c r="AF76" s="138">
        <f>30509.68*12</f>
        <v>366116.16000000003</v>
      </c>
      <c r="AG76" s="79" t="s">
        <v>225</v>
      </c>
      <c r="AH76" s="26"/>
    </row>
    <row r="77" spans="2:34" ht="24" customHeight="1">
      <c r="B77" s="40">
        <v>2.2</v>
      </c>
      <c r="C77" s="92" t="s">
        <v>15</v>
      </c>
      <c r="D77" s="26"/>
      <c r="E77" s="41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26"/>
      <c r="R77" s="41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3"/>
      <c r="AD77" s="43"/>
      <c r="AE77" s="94"/>
      <c r="AF77" s="138">
        <v>1500</v>
      </c>
      <c r="AG77" s="79" t="s">
        <v>97</v>
      </c>
      <c r="AH77" s="26"/>
    </row>
    <row r="78" spans="1:34" ht="27" customHeight="1">
      <c r="A78" s="3">
        <v>12</v>
      </c>
      <c r="B78" s="40">
        <v>2.3</v>
      </c>
      <c r="C78" s="26" t="s">
        <v>199</v>
      </c>
      <c r="D78" s="26"/>
      <c r="E78" s="41"/>
      <c r="F78" s="42"/>
      <c r="G78" s="122"/>
      <c r="H78" s="122"/>
      <c r="I78" s="42"/>
      <c r="J78" s="42"/>
      <c r="K78" s="42"/>
      <c r="L78" s="122"/>
      <c r="M78" s="122"/>
      <c r="N78" s="42"/>
      <c r="O78" s="42"/>
      <c r="P78" s="123"/>
      <c r="Q78" s="26"/>
      <c r="R78" s="41"/>
      <c r="S78" s="42"/>
      <c r="T78" s="122"/>
      <c r="U78" s="122"/>
      <c r="V78" s="42"/>
      <c r="W78" s="42"/>
      <c r="X78" s="42"/>
      <c r="Y78" s="122"/>
      <c r="Z78" s="122"/>
      <c r="AA78" s="42"/>
      <c r="AB78" s="42"/>
      <c r="AC78" s="123"/>
      <c r="AD78" s="123"/>
      <c r="AE78" s="23"/>
      <c r="AF78" s="93">
        <f>6734.07*12</f>
        <v>80808.84</v>
      </c>
      <c r="AG78" s="62" t="s">
        <v>200</v>
      </c>
      <c r="AH78" s="26"/>
    </row>
    <row r="79" spans="2:34" ht="27" customHeight="1">
      <c r="B79" s="40">
        <v>2.4</v>
      </c>
      <c r="C79" s="26" t="s">
        <v>228</v>
      </c>
      <c r="D79" s="26"/>
      <c r="E79" s="41"/>
      <c r="F79" s="42"/>
      <c r="G79" s="122"/>
      <c r="H79" s="122"/>
      <c r="I79" s="42"/>
      <c r="J79" s="42"/>
      <c r="K79" s="42"/>
      <c r="L79" s="122"/>
      <c r="M79" s="122"/>
      <c r="N79" s="42"/>
      <c r="O79" s="42"/>
      <c r="P79" s="123"/>
      <c r="Q79" s="26"/>
      <c r="R79" s="41"/>
      <c r="S79" s="42"/>
      <c r="T79" s="122"/>
      <c r="U79" s="122"/>
      <c r="V79" s="42"/>
      <c r="W79" s="42"/>
      <c r="X79" s="42"/>
      <c r="Y79" s="122"/>
      <c r="Z79" s="122"/>
      <c r="AA79" s="42"/>
      <c r="AB79" s="42"/>
      <c r="AC79" s="123"/>
      <c r="AD79" s="123"/>
      <c r="AE79" s="23"/>
      <c r="AF79" s="93">
        <v>14760</v>
      </c>
      <c r="AG79" s="62" t="s">
        <v>229</v>
      </c>
      <c r="AH79" s="26"/>
    </row>
    <row r="80" spans="1:35" s="156" customFormat="1" ht="13.5" customHeight="1">
      <c r="A80" s="145"/>
      <c r="B80" s="199"/>
      <c r="C80" s="154"/>
      <c r="D80" s="154"/>
      <c r="E80" s="200"/>
      <c r="F80" s="201"/>
      <c r="G80" s="202"/>
      <c r="H80" s="202"/>
      <c r="I80" s="201"/>
      <c r="J80" s="201"/>
      <c r="K80" s="201"/>
      <c r="L80" s="202"/>
      <c r="M80" s="202"/>
      <c r="N80" s="201"/>
      <c r="O80" s="201"/>
      <c r="P80" s="203"/>
      <c r="Q80" s="154"/>
      <c r="R80" s="200"/>
      <c r="S80" s="201"/>
      <c r="T80" s="202"/>
      <c r="U80" s="202"/>
      <c r="V80" s="201"/>
      <c r="W80" s="201"/>
      <c r="X80" s="201"/>
      <c r="Y80" s="202"/>
      <c r="Z80" s="202"/>
      <c r="AA80" s="201"/>
      <c r="AB80" s="201"/>
      <c r="AC80" s="203"/>
      <c r="AD80" s="203"/>
      <c r="AE80" s="152"/>
      <c r="AF80" s="152"/>
      <c r="AG80" s="153"/>
      <c r="AH80" s="154"/>
      <c r="AI80" s="155"/>
    </row>
    <row r="81" spans="1:35" s="39" customFormat="1" ht="37.5" customHeight="1">
      <c r="A81" s="7"/>
      <c r="B81" s="32">
        <v>3</v>
      </c>
      <c r="C81" s="33" t="s">
        <v>16</v>
      </c>
      <c r="D81" s="46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46"/>
      <c r="R81" s="47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48"/>
      <c r="AD81" s="24"/>
      <c r="AE81" s="49">
        <f>900*12</f>
        <v>10800</v>
      </c>
      <c r="AF81" s="46"/>
      <c r="AG81" s="63" t="s">
        <v>182</v>
      </c>
      <c r="AH81" s="44"/>
      <c r="AI81" s="38"/>
    </row>
    <row r="82" spans="1:35" s="166" customFormat="1" ht="18.75" customHeight="1">
      <c r="A82" s="157"/>
      <c r="B82" s="204"/>
      <c r="C82" s="205"/>
      <c r="D82" s="159"/>
      <c r="E82" s="206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207"/>
      <c r="Q82" s="159"/>
      <c r="R82" s="206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207"/>
      <c r="AD82" s="207"/>
      <c r="AE82" s="162"/>
      <c r="AF82" s="162"/>
      <c r="AG82" s="163"/>
      <c r="AH82" s="164"/>
      <c r="AI82" s="165"/>
    </row>
    <row r="83" spans="1:35" s="39" customFormat="1" ht="36.75" customHeight="1">
      <c r="A83" s="7"/>
      <c r="B83" s="32">
        <v>4</v>
      </c>
      <c r="C83" s="33" t="s">
        <v>190</v>
      </c>
      <c r="D83" s="46">
        <f>9500*12</f>
        <v>114000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6"/>
      <c r="R83" s="45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48"/>
      <c r="AD83" s="24">
        <v>114000</v>
      </c>
      <c r="AE83" s="196"/>
      <c r="AF83" s="49">
        <v>114000</v>
      </c>
      <c r="AG83" s="79" t="s">
        <v>193</v>
      </c>
      <c r="AH83" s="44"/>
      <c r="AI83" s="38"/>
    </row>
    <row r="84" spans="1:35" s="156" customFormat="1" ht="16.5" customHeight="1">
      <c r="A84" s="145"/>
      <c r="B84" s="146"/>
      <c r="C84" s="147"/>
      <c r="D84" s="154"/>
      <c r="E84" s="200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3"/>
      <c r="Q84" s="154"/>
      <c r="R84" s="200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3"/>
      <c r="AD84" s="203"/>
      <c r="AE84" s="208"/>
      <c r="AF84" s="208"/>
      <c r="AG84" s="209"/>
      <c r="AH84" s="154"/>
      <c r="AI84" s="155"/>
    </row>
    <row r="85" spans="1:35" s="39" customFormat="1" ht="24.75" customHeight="1">
      <c r="A85" s="7"/>
      <c r="B85" s="32">
        <v>5</v>
      </c>
      <c r="C85" s="33" t="s">
        <v>21</v>
      </c>
      <c r="D85" s="46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6"/>
      <c r="R85" s="45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48"/>
      <c r="AD85" s="24"/>
      <c r="AE85" s="49">
        <v>1200</v>
      </c>
      <c r="AF85" s="49"/>
      <c r="AG85" s="63" t="s">
        <v>46</v>
      </c>
      <c r="AH85" s="44"/>
      <c r="AI85" s="38"/>
    </row>
    <row r="86" spans="1:35" s="166" customFormat="1" ht="15" customHeight="1">
      <c r="A86" s="157"/>
      <c r="B86" s="158"/>
      <c r="C86" s="210"/>
      <c r="D86" s="159"/>
      <c r="E86" s="160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207"/>
      <c r="Q86" s="159"/>
      <c r="R86" s="211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3"/>
      <c r="AD86" s="213"/>
      <c r="AE86" s="162"/>
      <c r="AF86" s="162"/>
      <c r="AG86" s="163"/>
      <c r="AH86" s="164"/>
      <c r="AI86" s="165"/>
    </row>
    <row r="87" spans="1:35" s="39" customFormat="1" ht="34.5" customHeight="1">
      <c r="A87" s="8"/>
      <c r="B87" s="32">
        <v>6</v>
      </c>
      <c r="C87" s="95" t="s">
        <v>82</v>
      </c>
      <c r="D87" s="96">
        <v>800000</v>
      </c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22">
        <v>650000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139">
        <v>1450000</v>
      </c>
      <c r="AE87" s="23"/>
      <c r="AF87" s="24">
        <v>1450000</v>
      </c>
      <c r="AG87" s="62" t="s">
        <v>139</v>
      </c>
      <c r="AH87" s="44"/>
      <c r="AI87" s="38"/>
    </row>
    <row r="88" spans="1:35" s="166" customFormat="1" ht="14.25" customHeight="1">
      <c r="A88" s="167"/>
      <c r="B88" s="214"/>
      <c r="C88" s="215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159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8"/>
      <c r="AE88" s="168"/>
      <c r="AF88" s="168"/>
      <c r="AG88" s="169"/>
      <c r="AH88" s="164"/>
      <c r="AI88" s="165"/>
    </row>
    <row r="89" spans="1:35" s="39" customFormat="1" ht="44.25" customHeight="1">
      <c r="A89" s="81"/>
      <c r="B89" s="32">
        <v>7</v>
      </c>
      <c r="C89" s="95" t="s">
        <v>56</v>
      </c>
      <c r="D89" s="96">
        <v>1500000</v>
      </c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46">
        <v>1150000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140">
        <v>2650000</v>
      </c>
      <c r="AE89" s="36"/>
      <c r="AF89" s="24">
        <v>2650000</v>
      </c>
      <c r="AG89" s="62" t="s">
        <v>141</v>
      </c>
      <c r="AH89" s="44"/>
      <c r="AI89" s="38"/>
    </row>
    <row r="90" spans="1:35" s="166" customFormat="1" ht="14.25" customHeight="1">
      <c r="A90" s="167"/>
      <c r="B90" s="219"/>
      <c r="C90" s="215"/>
      <c r="D90" s="159"/>
      <c r="E90" s="217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170"/>
      <c r="Q90" s="159"/>
      <c r="R90" s="217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170"/>
      <c r="AD90" s="171"/>
      <c r="AE90" s="168"/>
      <c r="AF90" s="168"/>
      <c r="AG90" s="169"/>
      <c r="AH90" s="164"/>
      <c r="AI90" s="165"/>
    </row>
    <row r="91" spans="1:35" s="39" customFormat="1" ht="34.5" customHeight="1">
      <c r="A91" s="7">
        <v>4</v>
      </c>
      <c r="B91" s="52">
        <v>8</v>
      </c>
      <c r="C91" s="44" t="s">
        <v>17</v>
      </c>
      <c r="D91" s="29">
        <v>5200000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9">
        <v>2700000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9">
        <v>7900000</v>
      </c>
      <c r="AE91" s="23"/>
      <c r="AF91" s="29">
        <v>7900000</v>
      </c>
      <c r="AG91" s="141" t="s">
        <v>138</v>
      </c>
      <c r="AH91" s="44"/>
      <c r="AI91" s="38"/>
    </row>
    <row r="92" spans="1:35" s="166" customFormat="1" ht="17.25" customHeight="1">
      <c r="A92" s="157"/>
      <c r="B92" s="172"/>
      <c r="C92" s="221"/>
      <c r="D92" s="159"/>
      <c r="E92" s="158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207"/>
      <c r="Q92" s="159"/>
      <c r="R92" s="158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207"/>
      <c r="AD92" s="207"/>
      <c r="AE92" s="168"/>
      <c r="AF92" s="168"/>
      <c r="AG92" s="169"/>
      <c r="AH92" s="164"/>
      <c r="AI92" s="165"/>
    </row>
    <row r="93" spans="1:35" s="39" customFormat="1" ht="40.5" customHeight="1">
      <c r="A93" s="7"/>
      <c r="B93" s="52">
        <v>9</v>
      </c>
      <c r="C93" s="53" t="s">
        <v>18</v>
      </c>
      <c r="D93" s="22">
        <v>1100000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2">
        <v>650000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9">
        <v>1750000</v>
      </c>
      <c r="AE93" s="94"/>
      <c r="AF93" s="29">
        <v>1750000</v>
      </c>
      <c r="AG93" s="141" t="s">
        <v>140</v>
      </c>
      <c r="AH93" s="44"/>
      <c r="AI93" s="38"/>
    </row>
    <row r="94" spans="1:35" s="166" customFormat="1" ht="18" customHeight="1">
      <c r="A94" s="157"/>
      <c r="B94" s="172"/>
      <c r="C94" s="173"/>
      <c r="D94" s="159"/>
      <c r="E94" s="160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70"/>
      <c r="Q94" s="159"/>
      <c r="R94" s="160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70"/>
      <c r="AD94" s="170"/>
      <c r="AE94" s="168"/>
      <c r="AF94" s="168"/>
      <c r="AG94" s="169"/>
      <c r="AH94" s="164"/>
      <c r="AI94" s="165"/>
    </row>
    <row r="95" spans="1:35" s="39" customFormat="1" ht="18" customHeight="1" hidden="1">
      <c r="A95" s="7"/>
      <c r="B95" s="52">
        <v>10</v>
      </c>
      <c r="C95" s="53" t="s">
        <v>52</v>
      </c>
      <c r="D95" s="46"/>
      <c r="E95" s="45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35"/>
      <c r="Q95" s="46"/>
      <c r="R95" s="45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35"/>
      <c r="AD95" s="120"/>
      <c r="AE95" s="36"/>
      <c r="AF95" s="36"/>
      <c r="AG95" s="37" t="s">
        <v>204</v>
      </c>
      <c r="AH95" s="44"/>
      <c r="AI95" s="38"/>
    </row>
    <row r="96" spans="1:35" s="166" customFormat="1" ht="18" customHeight="1" hidden="1">
      <c r="A96" s="157"/>
      <c r="B96" s="172"/>
      <c r="C96" s="173"/>
      <c r="D96" s="159"/>
      <c r="E96" s="160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70"/>
      <c r="Q96" s="159"/>
      <c r="R96" s="160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70"/>
      <c r="AD96" s="171"/>
      <c r="AE96" s="168"/>
      <c r="AF96" s="168"/>
      <c r="AG96" s="169"/>
      <c r="AH96" s="164"/>
      <c r="AI96" s="165"/>
    </row>
    <row r="97" spans="1:35" s="39" customFormat="1" ht="18" customHeight="1">
      <c r="A97" s="7"/>
      <c r="B97" s="52">
        <v>10</v>
      </c>
      <c r="C97" s="53" t="s">
        <v>134</v>
      </c>
      <c r="D97" s="46"/>
      <c r="E97" s="45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5"/>
      <c r="Q97" s="46"/>
      <c r="R97" s="45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35"/>
      <c r="AD97" s="110">
        <f>AD99+AD109+AD98</f>
        <v>2220482.46</v>
      </c>
      <c r="AE97" s="36"/>
      <c r="AF97" s="111">
        <f>AF99+AF100+AF101+AF102+AF107+AF108+AF110+AF103+AF105+AF106+AF104+AF111+AF115+AF112+AF113+AF114+AF116</f>
        <v>2220483</v>
      </c>
      <c r="AG97" s="37"/>
      <c r="AH97" s="44"/>
      <c r="AI97" s="38"/>
    </row>
    <row r="98" spans="1:35" s="39" customFormat="1" ht="18" customHeight="1" hidden="1">
      <c r="A98" s="7"/>
      <c r="B98" s="52"/>
      <c r="C98" s="107"/>
      <c r="D98" s="46"/>
      <c r="E98" s="45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5"/>
      <c r="Q98" s="46"/>
      <c r="R98" s="45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35"/>
      <c r="AD98" s="189"/>
      <c r="AE98" s="36"/>
      <c r="AF98" s="111"/>
      <c r="AG98" s="37"/>
      <c r="AH98" s="44"/>
      <c r="AI98" s="38"/>
    </row>
    <row r="99" spans="1:34" ht="29.25" customHeight="1">
      <c r="A99" s="106"/>
      <c r="B99" s="69">
        <v>10.1</v>
      </c>
      <c r="C99" s="107" t="s">
        <v>206</v>
      </c>
      <c r="D99" s="42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26"/>
      <c r="R99" s="41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108"/>
      <c r="AD99" s="28"/>
      <c r="AE99" s="23"/>
      <c r="AF99" s="93">
        <v>15000</v>
      </c>
      <c r="AG99" s="86" t="s">
        <v>116</v>
      </c>
      <c r="AH99" s="26"/>
    </row>
    <row r="100" spans="1:34" ht="27" customHeight="1">
      <c r="A100" s="106"/>
      <c r="B100" s="69">
        <v>10.2</v>
      </c>
      <c r="C100" s="107" t="s">
        <v>201</v>
      </c>
      <c r="D100" s="4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2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109"/>
      <c r="AE100" s="23"/>
      <c r="AF100" s="93">
        <v>80000</v>
      </c>
      <c r="AG100" s="62" t="s">
        <v>226</v>
      </c>
      <c r="AH100" s="26"/>
    </row>
    <row r="101" spans="1:34" ht="27" customHeight="1" hidden="1">
      <c r="A101" s="106"/>
      <c r="B101" s="69"/>
      <c r="C101" s="92"/>
      <c r="D101" s="42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2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109"/>
      <c r="AE101" s="23"/>
      <c r="AF101" s="93"/>
      <c r="AG101" s="86"/>
      <c r="AH101" s="26"/>
    </row>
    <row r="102" spans="1:34" ht="27" customHeight="1">
      <c r="A102" s="106"/>
      <c r="B102" s="69">
        <v>10.3</v>
      </c>
      <c r="C102" s="92" t="s">
        <v>191</v>
      </c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109"/>
      <c r="AE102" s="23"/>
      <c r="AF102" s="93">
        <v>50000</v>
      </c>
      <c r="AG102" s="79" t="s">
        <v>189</v>
      </c>
      <c r="AH102" s="26"/>
    </row>
    <row r="103" spans="1:34" ht="33" customHeight="1">
      <c r="A103" s="106"/>
      <c r="B103" s="69">
        <v>10.4</v>
      </c>
      <c r="C103" s="92" t="s">
        <v>230</v>
      </c>
      <c r="D103" s="42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42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09"/>
      <c r="AE103" s="23"/>
      <c r="AF103" s="93">
        <v>415000</v>
      </c>
      <c r="AG103" s="79" t="s">
        <v>227</v>
      </c>
      <c r="AH103" s="26"/>
    </row>
    <row r="104" spans="1:34" ht="27" customHeight="1">
      <c r="A104" s="106"/>
      <c r="B104" s="69">
        <v>10.5</v>
      </c>
      <c r="C104" s="92" t="s">
        <v>203</v>
      </c>
      <c r="D104" s="42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42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09"/>
      <c r="AE104" s="23"/>
      <c r="AF104" s="93">
        <v>20000</v>
      </c>
      <c r="AG104" s="79" t="s">
        <v>202</v>
      </c>
      <c r="AH104" s="26"/>
    </row>
    <row r="105" spans="2:34" ht="28.5" customHeight="1" hidden="1">
      <c r="B105" s="69"/>
      <c r="C105" s="92"/>
      <c r="D105" s="22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2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2"/>
      <c r="AE105" s="23"/>
      <c r="AF105" s="130"/>
      <c r="AG105" s="86"/>
      <c r="AH105" s="26"/>
    </row>
    <row r="106" spans="2:34" ht="24.75" customHeight="1" hidden="1">
      <c r="B106" s="69"/>
      <c r="C106" s="27"/>
      <c r="D106" s="22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2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2"/>
      <c r="AE106" s="23"/>
      <c r="AF106" s="130"/>
      <c r="AG106" s="86"/>
      <c r="AH106" s="26"/>
    </row>
    <row r="107" spans="1:34" ht="27" customHeight="1">
      <c r="A107" s="106"/>
      <c r="B107" s="144">
        <v>10.6</v>
      </c>
      <c r="C107" s="107" t="s">
        <v>148</v>
      </c>
      <c r="D107" s="42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2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109"/>
      <c r="AE107" s="23"/>
      <c r="AF107" s="93">
        <f>13011+1547472</f>
        <v>1560483</v>
      </c>
      <c r="AG107" s="79" t="s">
        <v>246</v>
      </c>
      <c r="AH107" s="26"/>
    </row>
    <row r="108" spans="1:34" ht="27" customHeight="1">
      <c r="A108" s="106"/>
      <c r="B108" s="144">
        <v>10.7</v>
      </c>
      <c r="C108" s="107" t="s">
        <v>147</v>
      </c>
      <c r="D108" s="4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2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109"/>
      <c r="AE108" s="23"/>
      <c r="AF108" s="93">
        <v>30000</v>
      </c>
      <c r="AG108" s="79"/>
      <c r="AH108" s="26"/>
    </row>
    <row r="109" spans="1:34" ht="27" customHeight="1">
      <c r="A109" s="106"/>
      <c r="B109" s="69">
        <v>10.8</v>
      </c>
      <c r="C109" s="107" t="s">
        <v>171</v>
      </c>
      <c r="D109" s="42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109">
        <v>2220482.46</v>
      </c>
      <c r="AE109" s="23"/>
      <c r="AF109" s="93"/>
      <c r="AG109" s="79"/>
      <c r="AH109" s="26"/>
    </row>
    <row r="110" spans="1:34" ht="27" customHeight="1">
      <c r="A110" s="106"/>
      <c r="B110" s="69">
        <v>10.9</v>
      </c>
      <c r="C110" s="107" t="s">
        <v>177</v>
      </c>
      <c r="D110" s="4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109"/>
      <c r="AE110" s="23"/>
      <c r="AF110" s="93">
        <v>50000</v>
      </c>
      <c r="AG110" s="86" t="s">
        <v>116</v>
      </c>
      <c r="AH110" s="26"/>
    </row>
    <row r="111" spans="1:34" ht="27" customHeight="1" hidden="1">
      <c r="A111" s="106"/>
      <c r="B111" s="188"/>
      <c r="C111" s="92"/>
      <c r="D111" s="42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109"/>
      <c r="AE111" s="23"/>
      <c r="AF111" s="93"/>
      <c r="AG111" s="86"/>
      <c r="AH111" s="26"/>
    </row>
    <row r="112" spans="1:34" ht="27" customHeight="1" hidden="1">
      <c r="A112" s="106"/>
      <c r="B112" s="69">
        <v>10.15</v>
      </c>
      <c r="C112" s="107"/>
      <c r="D112" s="42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109"/>
      <c r="AE112" s="23"/>
      <c r="AF112" s="93"/>
      <c r="AG112" s="79"/>
      <c r="AH112" s="26"/>
    </row>
    <row r="113" spans="1:34" ht="27" customHeight="1" hidden="1">
      <c r="A113" s="106"/>
      <c r="B113" s="69">
        <v>10.16</v>
      </c>
      <c r="C113" s="107"/>
      <c r="D113" s="42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109"/>
      <c r="AE113" s="23"/>
      <c r="AF113" s="93"/>
      <c r="AG113" s="79"/>
      <c r="AH113" s="26"/>
    </row>
    <row r="114" spans="1:34" ht="27" customHeight="1" hidden="1">
      <c r="A114" s="106"/>
      <c r="B114" s="69">
        <v>10.17</v>
      </c>
      <c r="C114" s="107"/>
      <c r="D114" s="42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109"/>
      <c r="AE114" s="23"/>
      <c r="AF114" s="93"/>
      <c r="AG114" s="79"/>
      <c r="AH114" s="26"/>
    </row>
    <row r="115" spans="1:34" ht="27" customHeight="1" hidden="1">
      <c r="A115" s="106"/>
      <c r="B115" s="69">
        <v>10.14</v>
      </c>
      <c r="C115" s="107"/>
      <c r="D115" s="42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109"/>
      <c r="AE115" s="23"/>
      <c r="AF115" s="93"/>
      <c r="AG115" s="79"/>
      <c r="AH115" s="26"/>
    </row>
    <row r="116" spans="1:34" ht="27" customHeight="1" hidden="1">
      <c r="A116" s="106"/>
      <c r="B116" s="69"/>
      <c r="C116" s="107"/>
      <c r="D116" s="42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2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109"/>
      <c r="AE116" s="23"/>
      <c r="AF116" s="93"/>
      <c r="AG116" s="86"/>
      <c r="AH116" s="26"/>
    </row>
    <row r="117" spans="1:35" s="166" customFormat="1" ht="18" customHeight="1">
      <c r="A117" s="157"/>
      <c r="B117" s="172"/>
      <c r="C117" s="173"/>
      <c r="D117" s="164"/>
      <c r="E117" s="160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70"/>
      <c r="Q117" s="164"/>
      <c r="R117" s="160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70"/>
      <c r="AD117" s="170"/>
      <c r="AE117" s="168"/>
      <c r="AF117" s="168"/>
      <c r="AG117" s="169"/>
      <c r="AH117" s="164"/>
      <c r="AI117" s="165"/>
    </row>
    <row r="118" spans="1:35" s="39" customFormat="1" ht="39.75" customHeight="1">
      <c r="A118" s="7" t="s">
        <v>2</v>
      </c>
      <c r="B118" s="20">
        <v>11</v>
      </c>
      <c r="C118" s="21" t="s">
        <v>42</v>
      </c>
      <c r="D118" s="44"/>
      <c r="E118" s="45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44"/>
      <c r="R118" s="45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1"/>
      <c r="AD118" s="21"/>
      <c r="AE118" s="49">
        <f>196595*12</f>
        <v>2359140</v>
      </c>
      <c r="AF118" s="49">
        <f>AF119+AF122+AF123</f>
        <v>238463.2</v>
      </c>
      <c r="AG118" s="63" t="s">
        <v>85</v>
      </c>
      <c r="AH118" s="44"/>
      <c r="AI118" s="38"/>
    </row>
    <row r="119" spans="1:35" s="39" customFormat="1" ht="39.75" customHeight="1">
      <c r="A119" s="7"/>
      <c r="B119" s="40">
        <v>11.1</v>
      </c>
      <c r="C119" s="56" t="s">
        <v>146</v>
      </c>
      <c r="D119" s="44"/>
      <c r="E119" s="45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44"/>
      <c r="R119" s="45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1"/>
      <c r="AD119" s="21"/>
      <c r="AE119" s="49"/>
      <c r="AF119" s="138">
        <f>AE118*0.06/2</f>
        <v>70774.2</v>
      </c>
      <c r="AG119" s="25" t="s">
        <v>83</v>
      </c>
      <c r="AH119" s="44"/>
      <c r="AI119" s="38"/>
    </row>
    <row r="120" spans="1:35" s="39" customFormat="1" ht="39.75" customHeight="1" hidden="1">
      <c r="A120" s="7"/>
      <c r="B120" s="40"/>
      <c r="C120" s="56"/>
      <c r="D120" s="44"/>
      <c r="E120" s="45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44"/>
      <c r="R120" s="45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1"/>
      <c r="AD120" s="21"/>
      <c r="AE120" s="49"/>
      <c r="AF120" s="138"/>
      <c r="AG120" s="25"/>
      <c r="AH120" s="44"/>
      <c r="AI120" s="38"/>
    </row>
    <row r="121" spans="1:35" s="39" customFormat="1" ht="39.75" customHeight="1" hidden="1">
      <c r="A121" s="7"/>
      <c r="B121" s="40">
        <v>12.3</v>
      </c>
      <c r="C121" s="56"/>
      <c r="D121" s="44"/>
      <c r="E121" s="45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44"/>
      <c r="R121" s="45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1"/>
      <c r="AD121" s="21"/>
      <c r="AE121" s="49"/>
      <c r="AF121" s="138"/>
      <c r="AG121" s="25" t="s">
        <v>189</v>
      </c>
      <c r="AH121" s="44"/>
      <c r="AI121" s="38"/>
    </row>
    <row r="122" spans="1:35" s="39" customFormat="1" ht="39.75" customHeight="1" hidden="1">
      <c r="A122" s="7"/>
      <c r="B122" s="40">
        <v>11.2</v>
      </c>
      <c r="C122" s="56"/>
      <c r="D122" s="44"/>
      <c r="E122" s="45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44"/>
      <c r="R122" s="45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1"/>
      <c r="AD122" s="21"/>
      <c r="AE122" s="49"/>
      <c r="AF122" s="138"/>
      <c r="AG122" s="25"/>
      <c r="AH122" s="44"/>
      <c r="AI122" s="38"/>
    </row>
    <row r="123" spans="1:35" s="39" customFormat="1" ht="39.75" customHeight="1">
      <c r="A123" s="7"/>
      <c r="B123" s="40">
        <v>11.2</v>
      </c>
      <c r="C123" s="107" t="s">
        <v>161</v>
      </c>
      <c r="D123" s="44"/>
      <c r="E123" s="45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44"/>
      <c r="R123" s="45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1"/>
      <c r="AD123" s="21"/>
      <c r="AE123" s="49"/>
      <c r="AF123" s="138">
        <f>11999+155690</f>
        <v>167689</v>
      </c>
      <c r="AG123" s="62"/>
      <c r="AH123" s="44"/>
      <c r="AI123" s="38"/>
    </row>
    <row r="124" spans="1:35" s="166" customFormat="1" ht="15.75" customHeight="1">
      <c r="A124" s="157"/>
      <c r="B124" s="158"/>
      <c r="C124" s="193"/>
      <c r="D124" s="164"/>
      <c r="E124" s="160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93"/>
      <c r="Q124" s="164"/>
      <c r="R124" s="160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93"/>
      <c r="AD124" s="193"/>
      <c r="AE124" s="162"/>
      <c r="AF124" s="162"/>
      <c r="AG124" s="163"/>
      <c r="AH124" s="164"/>
      <c r="AI124" s="165"/>
    </row>
    <row r="125" spans="1:35" s="39" customFormat="1" ht="15.75" customHeight="1">
      <c r="A125" s="7"/>
      <c r="B125" s="20">
        <v>12</v>
      </c>
      <c r="C125" s="33" t="s">
        <v>158</v>
      </c>
      <c r="D125" s="124"/>
      <c r="E125" s="11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3"/>
      <c r="Q125" s="124"/>
      <c r="R125" s="11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33"/>
      <c r="AD125" s="21"/>
      <c r="AE125" s="49"/>
      <c r="AF125" s="197">
        <f>AF126+AF127+AF128+AF129</f>
        <v>2132676</v>
      </c>
      <c r="AG125" s="195"/>
      <c r="AH125" s="44"/>
      <c r="AI125" s="38"/>
    </row>
    <row r="126" spans="2:34" ht="36.75" customHeight="1">
      <c r="B126" s="40">
        <v>12.1</v>
      </c>
      <c r="C126" s="27" t="s">
        <v>135</v>
      </c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2"/>
      <c r="AE126" s="23"/>
      <c r="AF126" s="132">
        <f>106500*12</f>
        <v>1278000</v>
      </c>
      <c r="AG126" s="62" t="s">
        <v>54</v>
      </c>
      <c r="AH126" s="26"/>
    </row>
    <row r="127" spans="2:34" ht="24" customHeight="1" hidden="1">
      <c r="B127" s="40"/>
      <c r="C127" s="27"/>
      <c r="D127" s="2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2"/>
      <c r="AE127" s="23"/>
      <c r="AF127" s="132"/>
      <c r="AG127" s="62"/>
      <c r="AH127" s="26"/>
    </row>
    <row r="128" spans="2:34" ht="36" customHeight="1">
      <c r="B128" s="40">
        <v>12.2</v>
      </c>
      <c r="C128" s="27" t="s">
        <v>136</v>
      </c>
      <c r="D128" s="2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2"/>
      <c r="AE128" s="23"/>
      <c r="AF128" s="132">
        <f>(AF126+AF127)*0.302</f>
        <v>385956</v>
      </c>
      <c r="AG128" s="62" t="s">
        <v>54</v>
      </c>
      <c r="AH128" s="26"/>
    </row>
    <row r="129" spans="2:34" ht="23.25" customHeight="1">
      <c r="B129" s="112">
        <v>12.3</v>
      </c>
      <c r="C129" s="27" t="s">
        <v>137</v>
      </c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9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2"/>
      <c r="AE129" s="23"/>
      <c r="AF129" s="132">
        <v>468720</v>
      </c>
      <c r="AG129" s="62"/>
      <c r="AH129" s="26"/>
    </row>
    <row r="130" spans="1:35" s="19" customFormat="1" ht="23.25" customHeight="1" hidden="1">
      <c r="A130" s="6"/>
      <c r="B130" s="89"/>
      <c r="C130" s="30"/>
      <c r="D130" s="2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9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2"/>
      <c r="AE130" s="23"/>
      <c r="AF130" s="34"/>
      <c r="AG130" s="62"/>
      <c r="AH130" s="31"/>
      <c r="AI130" s="18"/>
    </row>
    <row r="131" spans="1:35" s="39" customFormat="1" ht="24.75" customHeight="1" hidden="1">
      <c r="A131" s="7">
        <v>32</v>
      </c>
      <c r="B131" s="52">
        <v>13</v>
      </c>
      <c r="C131" s="44" t="s">
        <v>19</v>
      </c>
      <c r="D131" s="44"/>
      <c r="E131" s="45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5"/>
      <c r="Q131" s="44"/>
      <c r="R131" s="45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35"/>
      <c r="AD131" s="35"/>
      <c r="AE131" s="24">
        <v>0</v>
      </c>
      <c r="AF131" s="24">
        <f>AF132+AF133+AF134+AF135+AF136</f>
        <v>0</v>
      </c>
      <c r="AG131" s="65"/>
      <c r="AH131" s="44"/>
      <c r="AI131" s="38"/>
    </row>
    <row r="132" spans="1:35" s="39" customFormat="1" ht="24.75" customHeight="1" hidden="1">
      <c r="A132" s="7"/>
      <c r="B132" s="69">
        <v>13.1</v>
      </c>
      <c r="C132" s="56" t="s">
        <v>143</v>
      </c>
      <c r="D132" s="54"/>
      <c r="E132" s="11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35"/>
      <c r="Q132" s="54"/>
      <c r="R132" s="114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35"/>
      <c r="AD132" s="35"/>
      <c r="AE132" s="24"/>
      <c r="AF132" s="93">
        <v>0</v>
      </c>
      <c r="AG132" s="62" t="s">
        <v>160</v>
      </c>
      <c r="AH132" s="44"/>
      <c r="AI132" s="38"/>
    </row>
    <row r="133" spans="1:35" s="39" customFormat="1" ht="24.75" customHeight="1" hidden="1">
      <c r="A133" s="7"/>
      <c r="B133" s="69">
        <v>13.2</v>
      </c>
      <c r="C133" s="56" t="s">
        <v>144</v>
      </c>
      <c r="D133" s="54"/>
      <c r="E133" s="11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35"/>
      <c r="Q133" s="54"/>
      <c r="R133" s="114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35"/>
      <c r="AD133" s="35"/>
      <c r="AE133" s="24"/>
      <c r="AF133" s="93">
        <v>0</v>
      </c>
      <c r="AG133" s="25" t="s">
        <v>157</v>
      </c>
      <c r="AH133" s="44"/>
      <c r="AI133" s="38"/>
    </row>
    <row r="134" spans="1:35" s="39" customFormat="1" ht="24.75" customHeight="1" hidden="1">
      <c r="A134" s="7"/>
      <c r="B134" s="69">
        <v>13.3</v>
      </c>
      <c r="C134" s="56" t="s">
        <v>159</v>
      </c>
      <c r="D134" s="54"/>
      <c r="E134" s="11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35"/>
      <c r="Q134" s="54"/>
      <c r="R134" s="114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35"/>
      <c r="AD134" s="35"/>
      <c r="AE134" s="24"/>
      <c r="AF134" s="93">
        <v>0</v>
      </c>
      <c r="AG134" s="86" t="s">
        <v>116</v>
      </c>
      <c r="AH134" s="44"/>
      <c r="AI134" s="38"/>
    </row>
    <row r="135" spans="1:35" s="39" customFormat="1" ht="24.75" customHeight="1" hidden="1">
      <c r="A135" s="7"/>
      <c r="B135" s="69">
        <v>13.4</v>
      </c>
      <c r="C135" s="56" t="s">
        <v>145</v>
      </c>
      <c r="D135" s="54"/>
      <c r="E135" s="11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35"/>
      <c r="Q135" s="54"/>
      <c r="R135" s="114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35"/>
      <c r="AD135" s="35"/>
      <c r="AE135" s="24"/>
      <c r="AF135" s="93">
        <v>0</v>
      </c>
      <c r="AG135" s="86" t="s">
        <v>116</v>
      </c>
      <c r="AH135" s="44"/>
      <c r="AI135" s="38"/>
    </row>
    <row r="136" spans="1:35" s="39" customFormat="1" ht="24.75" customHeight="1" hidden="1">
      <c r="A136" s="7"/>
      <c r="B136" s="125">
        <v>13.5</v>
      </c>
      <c r="C136" s="56" t="s">
        <v>146</v>
      </c>
      <c r="D136" s="54"/>
      <c r="E136" s="11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126"/>
      <c r="Q136" s="54"/>
      <c r="R136" s="114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126"/>
      <c r="AD136" s="126"/>
      <c r="AE136" s="127"/>
      <c r="AF136" s="128">
        <f>AE131*0.06</f>
        <v>0</v>
      </c>
      <c r="AG136" s="129" t="s">
        <v>83</v>
      </c>
      <c r="AH136" s="54"/>
      <c r="AI136" s="38"/>
    </row>
    <row r="137" spans="1:35" s="170" customFormat="1" ht="15.75">
      <c r="A137" s="174"/>
      <c r="B137" s="158"/>
      <c r="C137" s="170" t="s">
        <v>1</v>
      </c>
      <c r="D137" s="175">
        <f>D18+D75+D81+D83+D85+D87+D91+D93+D99+D89+D100</f>
        <v>13144332.440000001</v>
      </c>
      <c r="E137" s="158"/>
      <c r="F137" s="176"/>
      <c r="G137" s="177"/>
      <c r="H137" s="177"/>
      <c r="I137" s="177"/>
      <c r="J137" s="177"/>
      <c r="K137" s="176"/>
      <c r="L137" s="177"/>
      <c r="M137" s="177"/>
      <c r="N137" s="177"/>
      <c r="O137" s="177"/>
      <c r="Q137" s="175">
        <f>Q18+Q93+Q91+Q89+Q87</f>
        <v>6847989.416</v>
      </c>
      <c r="R137" s="158"/>
      <c r="S137" s="176"/>
      <c r="T137" s="177"/>
      <c r="U137" s="177"/>
      <c r="V137" s="177"/>
      <c r="W137" s="177"/>
      <c r="X137" s="176"/>
      <c r="Y137" s="177"/>
      <c r="Z137" s="177"/>
      <c r="AA137" s="177"/>
      <c r="AB137" s="177"/>
      <c r="AD137" s="175">
        <f>AD18+AD75+AD81+AD83+AD85+AD87+AD89+AD91+AD93+AD99+AD109</f>
        <v>22212804.316</v>
      </c>
      <c r="AE137" s="175">
        <f>AE131+AE118+AE85+AE81+AE28</f>
        <v>2371140</v>
      </c>
      <c r="AF137" s="175">
        <f>AF18+AF75+AF81+AF83+AF85+AF87+AF89+AF91+AF93+AF97+AF126+AF127+AF128+AF129+AF131+AF118</f>
        <v>24583943.919999998</v>
      </c>
      <c r="AG137" s="160"/>
      <c r="AH137" s="154"/>
      <c r="AI137" s="178"/>
    </row>
    <row r="138" spans="3:34" ht="12.75">
      <c r="C138" s="248" t="s">
        <v>236</v>
      </c>
      <c r="AD138" s="246">
        <f>AE137+AD137</f>
        <v>24583944.316</v>
      </c>
      <c r="AE138" s="247"/>
      <c r="AF138" s="137">
        <f>AF137</f>
        <v>24583943.919999998</v>
      </c>
      <c r="AH138" s="84"/>
    </row>
    <row r="139" spans="1:35" s="51" customFormat="1" ht="15.75">
      <c r="A139" s="4"/>
      <c r="B139" s="70"/>
      <c r="C139" s="249"/>
      <c r="D139" s="39"/>
      <c r="E139" s="7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39"/>
      <c r="Q139" s="39"/>
      <c r="R139" s="7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39"/>
      <c r="AD139" s="244" t="s">
        <v>5</v>
      </c>
      <c r="AE139" s="245"/>
      <c r="AF139" s="20" t="s">
        <v>31</v>
      </c>
      <c r="AG139" s="70"/>
      <c r="AH139" s="44"/>
      <c r="AI139" s="50"/>
    </row>
    <row r="140" spans="2:34" ht="28.5" customHeight="1">
      <c r="B140" s="242" t="s">
        <v>237</v>
      </c>
      <c r="C140" s="243"/>
      <c r="D140" s="243"/>
      <c r="AH140" s="26"/>
    </row>
    <row r="141" spans="2:34" ht="35.25" customHeight="1">
      <c r="B141" s="222" t="s">
        <v>238</v>
      </c>
      <c r="C141" s="229"/>
      <c r="D141" s="229"/>
      <c r="AH141" s="26"/>
    </row>
    <row r="142" spans="2:34" ht="22.5" customHeight="1">
      <c r="B142" s="222" t="s">
        <v>88</v>
      </c>
      <c r="C142" s="229"/>
      <c r="D142" s="229"/>
      <c r="AH142" s="26"/>
    </row>
    <row r="143" spans="2:34" ht="35.25" customHeight="1">
      <c r="B143" s="222" t="s">
        <v>165</v>
      </c>
      <c r="C143" s="229"/>
      <c r="D143" s="229"/>
      <c r="AH143" s="26"/>
    </row>
    <row r="144" spans="2:34" ht="21" customHeight="1">
      <c r="B144" s="240" t="s">
        <v>84</v>
      </c>
      <c r="C144" s="241"/>
      <c r="AH144" s="26"/>
    </row>
    <row r="145" spans="2:34" ht="105" customHeight="1">
      <c r="B145" s="222" t="s">
        <v>239</v>
      </c>
      <c r="C145" s="229"/>
      <c r="D145" s="229"/>
      <c r="AH145" s="26"/>
    </row>
  </sheetData>
  <sheetProtection/>
  <mergeCells count="16">
    <mergeCell ref="B145:D145"/>
    <mergeCell ref="B144:C144"/>
    <mergeCell ref="B143:D143"/>
    <mergeCell ref="B140:D140"/>
    <mergeCell ref="AD139:AE139"/>
    <mergeCell ref="AD138:AE138"/>
    <mergeCell ref="C138:C139"/>
    <mergeCell ref="AE2:AG2"/>
    <mergeCell ref="B3:E3"/>
    <mergeCell ref="B14:F14"/>
    <mergeCell ref="B141:D141"/>
    <mergeCell ref="B142:D142"/>
    <mergeCell ref="AH15:AH16"/>
    <mergeCell ref="AF15:AF16"/>
    <mergeCell ref="AG15:AG16"/>
    <mergeCell ref="D15:AE15"/>
  </mergeCells>
  <printOptions/>
  <pageMargins left="0" right="0" top="0.2755905511811024" bottom="0.31496062992125984" header="0.1968503937007874" footer="0.2362204724409449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0.25390625" style="0" customWidth="1"/>
    <col min="4" max="4" width="15.875" style="0" customWidth="1"/>
    <col min="5" max="5" width="15.375" style="0" customWidth="1"/>
    <col min="6" max="6" width="33.25390625" style="0" customWidth="1"/>
  </cols>
  <sheetData>
    <row r="1" ht="43.5" customHeight="1">
      <c r="F1" s="66" t="s">
        <v>234</v>
      </c>
    </row>
    <row r="2" ht="75.75" customHeight="1">
      <c r="F2" s="66" t="s">
        <v>81</v>
      </c>
    </row>
    <row r="3" ht="25.5" customHeight="1"/>
    <row r="4" spans="1:6" ht="12.75">
      <c r="A4" s="250" t="s">
        <v>232</v>
      </c>
      <c r="B4" s="250"/>
      <c r="C4" s="250"/>
      <c r="D4" s="250"/>
      <c r="E4" s="250"/>
      <c r="F4" s="250"/>
    </row>
    <row r="5" spans="1:9" ht="42.75" customHeight="1">
      <c r="A5" s="73" t="s">
        <v>0</v>
      </c>
      <c r="B5" s="73" t="s">
        <v>68</v>
      </c>
      <c r="C5" s="73" t="s">
        <v>69</v>
      </c>
      <c r="D5" s="73" t="s">
        <v>70</v>
      </c>
      <c r="E5" s="73" t="s">
        <v>87</v>
      </c>
      <c r="F5" s="73" t="s">
        <v>71</v>
      </c>
      <c r="I5" s="74"/>
    </row>
    <row r="6" spans="1:6" ht="12.75" customHeight="1">
      <c r="A6" s="258" t="s">
        <v>76</v>
      </c>
      <c r="B6" s="258"/>
      <c r="C6" s="258"/>
      <c r="D6" s="258"/>
      <c r="E6" s="258"/>
      <c r="F6" s="258"/>
    </row>
    <row r="7" spans="1:6" ht="29.25" customHeight="1">
      <c r="A7" s="64">
        <v>1</v>
      </c>
      <c r="B7" s="71" t="s">
        <v>73</v>
      </c>
      <c r="C7" s="71">
        <v>1</v>
      </c>
      <c r="D7" s="71">
        <v>40000</v>
      </c>
      <c r="E7" s="71">
        <v>40000</v>
      </c>
      <c r="F7" s="72" t="s">
        <v>74</v>
      </c>
    </row>
    <row r="8" spans="1:6" ht="25.5">
      <c r="A8" s="64">
        <v>2</v>
      </c>
      <c r="B8" s="71" t="s">
        <v>166</v>
      </c>
      <c r="C8" s="71">
        <v>1</v>
      </c>
      <c r="D8" s="71">
        <v>32000</v>
      </c>
      <c r="E8" s="71">
        <v>32000</v>
      </c>
      <c r="F8" s="72" t="s">
        <v>75</v>
      </c>
    </row>
    <row r="9" spans="1:6" ht="38.25">
      <c r="A9" s="64">
        <v>3</v>
      </c>
      <c r="B9" s="66" t="s">
        <v>167</v>
      </c>
      <c r="C9" s="71">
        <v>0.5</v>
      </c>
      <c r="D9" s="71">
        <v>26000</v>
      </c>
      <c r="E9" s="71">
        <v>13000</v>
      </c>
      <c r="F9" s="72" t="s">
        <v>75</v>
      </c>
    </row>
    <row r="10" spans="1:6" ht="25.5">
      <c r="A10" s="64">
        <v>4</v>
      </c>
      <c r="B10" s="71" t="s">
        <v>164</v>
      </c>
      <c r="C10" s="71">
        <v>0.5</v>
      </c>
      <c r="D10" s="71">
        <v>21500</v>
      </c>
      <c r="E10" s="71">
        <f>D10/2</f>
        <v>10750</v>
      </c>
      <c r="F10" s="72" t="s">
        <v>75</v>
      </c>
    </row>
    <row r="11" spans="1:6" ht="51">
      <c r="A11" s="64">
        <v>5</v>
      </c>
      <c r="B11" s="142" t="s">
        <v>196</v>
      </c>
      <c r="C11" s="143">
        <v>0.5</v>
      </c>
      <c r="D11" s="143">
        <v>21500</v>
      </c>
      <c r="E11" s="143">
        <f>D11/2</f>
        <v>10750</v>
      </c>
      <c r="F11" s="72" t="s">
        <v>75</v>
      </c>
    </row>
    <row r="12" spans="1:6" s="78" customFormat="1" ht="12.75">
      <c r="A12" s="75"/>
      <c r="B12" s="76" t="s">
        <v>60</v>
      </c>
      <c r="C12" s="75">
        <v>3.5</v>
      </c>
      <c r="D12" s="75">
        <f>D7+D8+D9+D10+D11</f>
        <v>141000</v>
      </c>
      <c r="E12" s="75">
        <f>E7+E8+E9+E10+E11</f>
        <v>106500</v>
      </c>
      <c r="F12" s="77"/>
    </row>
    <row r="13" spans="1:6" s="78" customFormat="1" ht="12.75">
      <c r="A13" s="252"/>
      <c r="B13" s="253"/>
      <c r="C13" s="253"/>
      <c r="D13" s="253"/>
      <c r="E13" s="253"/>
      <c r="F13" s="254"/>
    </row>
    <row r="14" spans="1:9" ht="38.25">
      <c r="A14" s="73" t="s">
        <v>0</v>
      </c>
      <c r="B14" s="73" t="s">
        <v>68</v>
      </c>
      <c r="C14" s="73" t="s">
        <v>69</v>
      </c>
      <c r="D14" s="73" t="s">
        <v>90</v>
      </c>
      <c r="E14" s="73" t="s">
        <v>91</v>
      </c>
      <c r="F14" s="73" t="s">
        <v>71</v>
      </c>
      <c r="I14" s="74"/>
    </row>
    <row r="15" spans="1:6" ht="18" customHeight="1">
      <c r="A15" s="64">
        <v>1</v>
      </c>
      <c r="B15" s="71" t="s">
        <v>89</v>
      </c>
      <c r="C15" s="71">
        <v>1</v>
      </c>
      <c r="D15" s="71">
        <v>25000</v>
      </c>
      <c r="E15" s="71">
        <v>25000</v>
      </c>
      <c r="F15" s="72" t="s">
        <v>72</v>
      </c>
    </row>
    <row r="16" spans="1:6" ht="29.25" customHeight="1">
      <c r="A16" s="85"/>
      <c r="B16" s="90"/>
      <c r="C16" s="90"/>
      <c r="D16" s="90"/>
      <c r="E16" s="90"/>
      <c r="F16" s="91"/>
    </row>
    <row r="17" spans="2:6" ht="12.75">
      <c r="B17" s="256" t="s">
        <v>77</v>
      </c>
      <c r="C17" s="256"/>
      <c r="D17" s="256"/>
      <c r="E17" s="256"/>
      <c r="F17" s="256"/>
    </row>
    <row r="19" spans="1:6" ht="41.25" customHeight="1">
      <c r="A19" s="82" t="s">
        <v>0</v>
      </c>
      <c r="B19" s="251" t="s">
        <v>79</v>
      </c>
      <c r="C19" s="251"/>
      <c r="D19" s="251"/>
      <c r="E19" s="82" t="s">
        <v>87</v>
      </c>
      <c r="F19" s="64" t="s">
        <v>78</v>
      </c>
    </row>
    <row r="20" spans="1:6" ht="12.75">
      <c r="A20" s="64">
        <v>1</v>
      </c>
      <c r="B20" s="255" t="s">
        <v>80</v>
      </c>
      <c r="C20" s="255"/>
      <c r="D20" s="255"/>
      <c r="E20" s="71">
        <f>E12</f>
        <v>106500</v>
      </c>
      <c r="F20" s="71">
        <f>E20*0.302</f>
        <v>32163</v>
      </c>
    </row>
    <row r="21" spans="1:6" ht="12.75">
      <c r="A21" s="64">
        <v>2</v>
      </c>
      <c r="B21" s="257" t="s">
        <v>109</v>
      </c>
      <c r="C21" s="253"/>
      <c r="D21" s="254"/>
      <c r="E21" s="71">
        <v>25000</v>
      </c>
      <c r="F21" s="83">
        <f>E21*0.302</f>
        <v>7550</v>
      </c>
    </row>
  </sheetData>
  <sheetProtection/>
  <mergeCells count="7">
    <mergeCell ref="A4:F4"/>
    <mergeCell ref="B19:D19"/>
    <mergeCell ref="A13:F13"/>
    <mergeCell ref="B20:D20"/>
    <mergeCell ref="B17:F17"/>
    <mergeCell ref="B21:D21"/>
    <mergeCell ref="A6:F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625" style="0" customWidth="1"/>
    <col min="2" max="2" width="23.125" style="0" customWidth="1"/>
    <col min="3" max="3" width="10.25390625" style="0" customWidth="1"/>
    <col min="4" max="4" width="14.375" style="0" customWidth="1"/>
    <col min="5" max="5" width="13.00390625" style="0" customWidth="1"/>
    <col min="6" max="6" width="33.25390625" style="0" customWidth="1"/>
  </cols>
  <sheetData>
    <row r="1" ht="38.25">
      <c r="F1" s="66" t="s">
        <v>233</v>
      </c>
    </row>
    <row r="2" ht="88.5" customHeight="1">
      <c r="F2" s="66" t="s">
        <v>81</v>
      </c>
    </row>
    <row r="5" spans="1:6" ht="37.5" customHeight="1">
      <c r="A5" s="259" t="s">
        <v>162</v>
      </c>
      <c r="B5" s="259"/>
      <c r="C5" s="259"/>
      <c r="D5" s="259"/>
      <c r="E5" s="259"/>
      <c r="F5" s="259"/>
    </row>
    <row r="8" spans="2:6" ht="12.75">
      <c r="B8" s="241" t="s">
        <v>92</v>
      </c>
      <c r="C8" s="241"/>
      <c r="D8" s="241"/>
      <c r="E8" s="241"/>
      <c r="F8" s="241"/>
    </row>
    <row r="9" spans="2:6" ht="15" customHeight="1">
      <c r="B9" s="229" t="s">
        <v>93</v>
      </c>
      <c r="C9" s="229"/>
      <c r="D9" s="229"/>
      <c r="E9" s="229"/>
      <c r="F9" s="229"/>
    </row>
    <row r="10" spans="2:6" ht="15" customHeight="1">
      <c r="B10" s="229" t="s">
        <v>94</v>
      </c>
      <c r="C10" s="229"/>
      <c r="D10" s="229"/>
      <c r="E10" s="229"/>
      <c r="F10" s="229"/>
    </row>
    <row r="11" spans="2:6" ht="15" customHeight="1">
      <c r="B11" s="229" t="s">
        <v>95</v>
      </c>
      <c r="C11" s="229"/>
      <c r="D11" s="229"/>
      <c r="E11" s="229"/>
      <c r="F11" s="229"/>
    </row>
    <row r="12" spans="2:6" ht="12.75" customHeight="1">
      <c r="B12" s="229" t="s">
        <v>96</v>
      </c>
      <c r="C12" s="229"/>
      <c r="D12" s="229"/>
      <c r="E12" s="229"/>
      <c r="F12" s="229"/>
    </row>
    <row r="13" spans="2:6" ht="8.25" customHeight="1">
      <c r="B13" s="66"/>
      <c r="C13" s="66"/>
      <c r="D13" s="66"/>
      <c r="E13" s="66"/>
      <c r="F13" s="66"/>
    </row>
  </sheetData>
  <sheetProtection/>
  <mergeCells count="6">
    <mergeCell ref="B12:F12"/>
    <mergeCell ref="B11:F11"/>
    <mergeCell ref="A5:F5"/>
    <mergeCell ref="B10:F10"/>
    <mergeCell ref="B8:F8"/>
    <mergeCell ref="B9:F9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Наталья</cp:lastModifiedBy>
  <cp:lastPrinted>2022-02-03T15:13:55Z</cp:lastPrinted>
  <dcterms:created xsi:type="dcterms:W3CDTF">2007-07-20T05:58:12Z</dcterms:created>
  <dcterms:modified xsi:type="dcterms:W3CDTF">2022-02-03T15:17:20Z</dcterms:modified>
  <cp:category/>
  <cp:version/>
  <cp:contentType/>
  <cp:contentStatus/>
</cp:coreProperties>
</file>